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luca\Desktop\"/>
    </mc:Choice>
  </mc:AlternateContent>
  <xr:revisionPtr revIDLastSave="0" documentId="8_{2C425664-8B21-4AE4-A1D6-3904275C5B0E}" xr6:coauthVersionLast="46" xr6:coauthVersionMax="46" xr10:uidLastSave="{00000000-0000-0000-0000-000000000000}"/>
  <bookViews>
    <workbookView xWindow="28680" yWindow="-120" windowWidth="29040" windowHeight="16440"/>
  </bookViews>
  <sheets>
    <sheet name="2020" sheetId="1" r:id="rId1"/>
  </sheets>
  <calcPr calcId="0"/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A3" i="1"/>
  <c r="B3" i="1"/>
  <c r="C3" i="1"/>
  <c r="D3" i="1"/>
  <c r="E3" i="1"/>
  <c r="F3" i="1"/>
  <c r="G3" i="1"/>
  <c r="H3" i="1"/>
  <c r="I3" i="1"/>
  <c r="A4" i="1"/>
  <c r="B4" i="1"/>
  <c r="C4" i="1"/>
  <c r="D4" i="1"/>
  <c r="E4" i="1"/>
  <c r="F4" i="1"/>
  <c r="G4" i="1"/>
  <c r="H4" i="1"/>
  <c r="I4" i="1"/>
  <c r="A5" i="1"/>
  <c r="B5" i="1"/>
  <c r="C5" i="1"/>
  <c r="D5" i="1"/>
  <c r="E5" i="1"/>
  <c r="F5" i="1"/>
  <c r="G5" i="1"/>
  <c r="H5" i="1"/>
  <c r="I5" i="1"/>
  <c r="A6" i="1"/>
  <c r="B6" i="1"/>
  <c r="C6" i="1"/>
  <c r="D6" i="1"/>
  <c r="E6" i="1"/>
  <c r="F6" i="1"/>
  <c r="G6" i="1"/>
  <c r="H6" i="1"/>
  <c r="I6" i="1"/>
  <c r="A7" i="1"/>
  <c r="B7" i="1"/>
  <c r="C7" i="1"/>
  <c r="D7" i="1"/>
  <c r="E7" i="1"/>
  <c r="F7" i="1"/>
  <c r="G7" i="1"/>
  <c r="H7" i="1"/>
  <c r="I7" i="1"/>
  <c r="A8" i="1"/>
  <c r="B8" i="1"/>
  <c r="C8" i="1"/>
  <c r="D8" i="1"/>
  <c r="E8" i="1"/>
  <c r="F8" i="1"/>
  <c r="G8" i="1"/>
  <c r="H8" i="1"/>
  <c r="I8" i="1"/>
  <c r="A9" i="1"/>
  <c r="B9" i="1"/>
  <c r="C9" i="1"/>
  <c r="D9" i="1"/>
  <c r="E9" i="1"/>
  <c r="F9" i="1"/>
  <c r="G9" i="1"/>
  <c r="H9" i="1"/>
  <c r="I9" i="1"/>
  <c r="A10" i="1"/>
  <c r="B10" i="1"/>
  <c r="C10" i="1"/>
  <c r="D10" i="1"/>
  <c r="E10" i="1"/>
  <c r="F10" i="1"/>
  <c r="G10" i="1"/>
  <c r="H10" i="1"/>
  <c r="I10" i="1"/>
  <c r="A11" i="1"/>
  <c r="B11" i="1"/>
  <c r="C11" i="1"/>
  <c r="D11" i="1"/>
  <c r="E11" i="1"/>
  <c r="F11" i="1"/>
  <c r="G11" i="1"/>
  <c r="H11" i="1"/>
  <c r="I11" i="1"/>
  <c r="A12" i="1"/>
  <c r="B12" i="1"/>
  <c r="C12" i="1"/>
  <c r="D12" i="1"/>
  <c r="E12" i="1"/>
  <c r="F12" i="1"/>
  <c r="G12" i="1"/>
  <c r="H12" i="1"/>
  <c r="I12" i="1"/>
  <c r="A13" i="1"/>
  <c r="B13" i="1"/>
  <c r="C13" i="1"/>
  <c r="D13" i="1"/>
  <c r="E13" i="1"/>
  <c r="F13" i="1"/>
  <c r="G13" i="1"/>
  <c r="H13" i="1"/>
  <c r="I13" i="1"/>
  <c r="A14" i="1"/>
  <c r="B14" i="1"/>
  <c r="C14" i="1"/>
  <c r="D14" i="1"/>
  <c r="E14" i="1"/>
  <c r="F14" i="1"/>
  <c r="G14" i="1"/>
  <c r="H14" i="1"/>
  <c r="I14" i="1"/>
  <c r="A15" i="1"/>
  <c r="B15" i="1"/>
  <c r="C15" i="1"/>
  <c r="D15" i="1"/>
  <c r="E15" i="1"/>
  <c r="F15" i="1"/>
  <c r="G15" i="1"/>
  <c r="H15" i="1"/>
  <c r="I15" i="1"/>
  <c r="A16" i="1"/>
  <c r="B16" i="1"/>
  <c r="C16" i="1"/>
  <c r="D16" i="1"/>
  <c r="E16" i="1"/>
  <c r="F16" i="1"/>
  <c r="G16" i="1"/>
  <c r="H16" i="1"/>
  <c r="I16" i="1"/>
  <c r="A17" i="1"/>
  <c r="B17" i="1"/>
  <c r="C17" i="1"/>
  <c r="D17" i="1"/>
  <c r="E17" i="1"/>
  <c r="F17" i="1"/>
  <c r="G17" i="1"/>
  <c r="H17" i="1"/>
  <c r="I17" i="1"/>
  <c r="A18" i="1"/>
  <c r="B18" i="1"/>
  <c r="C18" i="1"/>
  <c r="D18" i="1"/>
  <c r="E18" i="1"/>
  <c r="F18" i="1"/>
  <c r="G18" i="1"/>
  <c r="H18" i="1"/>
  <c r="I18" i="1"/>
  <c r="A19" i="1"/>
  <c r="B19" i="1"/>
  <c r="C19" i="1"/>
  <c r="D19" i="1"/>
  <c r="E19" i="1"/>
  <c r="F19" i="1"/>
  <c r="G19" i="1"/>
  <c r="H19" i="1"/>
  <c r="I19" i="1"/>
  <c r="A20" i="1"/>
  <c r="B20" i="1"/>
  <c r="C20" i="1"/>
  <c r="D20" i="1"/>
  <c r="E20" i="1"/>
  <c r="F20" i="1"/>
  <c r="G20" i="1"/>
  <c r="H20" i="1"/>
  <c r="I20" i="1"/>
  <c r="A21" i="1"/>
  <c r="B21" i="1"/>
  <c r="C21" i="1"/>
  <c r="D21" i="1"/>
  <c r="E21" i="1"/>
  <c r="F21" i="1"/>
  <c r="G21" i="1"/>
  <c r="H21" i="1"/>
  <c r="I21" i="1"/>
  <c r="A22" i="1"/>
  <c r="B22" i="1"/>
  <c r="C22" i="1"/>
  <c r="D22" i="1"/>
  <c r="E22" i="1"/>
  <c r="F22" i="1"/>
  <c r="G22" i="1"/>
  <c r="H22" i="1"/>
  <c r="I22" i="1"/>
  <c r="A23" i="1"/>
  <c r="B23" i="1"/>
  <c r="C23" i="1"/>
  <c r="D23" i="1"/>
  <c r="E23" i="1"/>
  <c r="F23" i="1"/>
  <c r="G23" i="1"/>
  <c r="H23" i="1"/>
  <c r="I23" i="1"/>
  <c r="A24" i="1"/>
  <c r="B24" i="1"/>
  <c r="C24" i="1"/>
  <c r="D24" i="1"/>
  <c r="E24" i="1"/>
  <c r="F24" i="1"/>
  <c r="G24" i="1"/>
  <c r="H24" i="1"/>
  <c r="I24" i="1"/>
  <c r="A25" i="1"/>
  <c r="B25" i="1"/>
  <c r="C25" i="1"/>
  <c r="D25" i="1"/>
  <c r="E25" i="1"/>
  <c r="F25" i="1"/>
  <c r="G25" i="1"/>
  <c r="H25" i="1"/>
  <c r="I25" i="1"/>
  <c r="A26" i="1"/>
  <c r="B26" i="1"/>
  <c r="C26" i="1"/>
  <c r="D26" i="1"/>
  <c r="E26" i="1"/>
  <c r="F26" i="1"/>
  <c r="G26" i="1"/>
  <c r="H26" i="1"/>
  <c r="I26" i="1"/>
  <c r="A27" i="1"/>
  <c r="B27" i="1"/>
  <c r="C27" i="1"/>
  <c r="D27" i="1"/>
  <c r="E27" i="1"/>
  <c r="F27" i="1"/>
  <c r="G27" i="1"/>
  <c r="H27" i="1"/>
  <c r="I27" i="1"/>
  <c r="A28" i="1"/>
  <c r="B28" i="1"/>
  <c r="C28" i="1"/>
  <c r="D28" i="1"/>
  <c r="E28" i="1"/>
  <c r="F28" i="1"/>
  <c r="G28" i="1"/>
  <c r="H28" i="1"/>
  <c r="I28" i="1"/>
  <c r="A29" i="1"/>
  <c r="B29" i="1"/>
  <c r="C29" i="1"/>
  <c r="D29" i="1"/>
  <c r="E29" i="1"/>
  <c r="F29" i="1"/>
  <c r="G29" i="1"/>
  <c r="H29" i="1"/>
  <c r="I29" i="1"/>
  <c r="A30" i="1"/>
  <c r="B30" i="1"/>
  <c r="C30" i="1"/>
  <c r="D30" i="1"/>
  <c r="E30" i="1"/>
  <c r="F30" i="1"/>
  <c r="G30" i="1"/>
  <c r="H30" i="1"/>
  <c r="I30" i="1"/>
  <c r="A31" i="1"/>
  <c r="B31" i="1"/>
  <c r="C31" i="1"/>
  <c r="D31" i="1"/>
  <c r="E31" i="1"/>
  <c r="F31" i="1"/>
  <c r="G31" i="1"/>
  <c r="H31" i="1"/>
  <c r="I31" i="1"/>
  <c r="A32" i="1"/>
  <c r="B32" i="1"/>
  <c r="C32" i="1"/>
  <c r="D32" i="1"/>
  <c r="E32" i="1"/>
  <c r="F32" i="1"/>
  <c r="G32" i="1"/>
  <c r="H32" i="1"/>
  <c r="I32" i="1"/>
  <c r="A33" i="1"/>
  <c r="B33" i="1"/>
  <c r="C33" i="1"/>
  <c r="D33" i="1"/>
  <c r="E33" i="1"/>
  <c r="F33" i="1"/>
  <c r="G33" i="1"/>
  <c r="H33" i="1"/>
  <c r="I33" i="1"/>
  <c r="A34" i="1"/>
  <c r="B34" i="1"/>
  <c r="C34" i="1"/>
  <c r="D34" i="1"/>
  <c r="E34" i="1"/>
  <c r="F34" i="1"/>
  <c r="G34" i="1"/>
  <c r="H34" i="1"/>
  <c r="I34" i="1"/>
  <c r="A35" i="1"/>
  <c r="B35" i="1"/>
  <c r="C35" i="1"/>
  <c r="D35" i="1"/>
  <c r="E35" i="1"/>
  <c r="F35" i="1"/>
  <c r="G35" i="1"/>
  <c r="H35" i="1"/>
  <c r="I35" i="1"/>
  <c r="A36" i="1"/>
  <c r="B36" i="1"/>
  <c r="C36" i="1"/>
  <c r="D36" i="1"/>
  <c r="E36" i="1"/>
  <c r="F36" i="1"/>
  <c r="G36" i="1"/>
  <c r="H36" i="1"/>
  <c r="I36" i="1"/>
  <c r="A37" i="1"/>
  <c r="B37" i="1"/>
  <c r="C37" i="1"/>
  <c r="D37" i="1"/>
  <c r="E37" i="1"/>
  <c r="F37" i="1"/>
  <c r="G37" i="1"/>
  <c r="H37" i="1"/>
  <c r="I37" i="1"/>
  <c r="A38" i="1"/>
  <c r="B38" i="1"/>
  <c r="C38" i="1"/>
  <c r="D38" i="1"/>
  <c r="E38" i="1"/>
  <c r="F38" i="1"/>
  <c r="G38" i="1"/>
  <c r="H38" i="1"/>
  <c r="I38" i="1"/>
  <c r="A39" i="1"/>
  <c r="B39" i="1"/>
  <c r="C39" i="1"/>
  <c r="D39" i="1"/>
  <c r="E39" i="1"/>
  <c r="F39" i="1"/>
  <c r="G39" i="1"/>
  <c r="H39" i="1"/>
  <c r="I39" i="1"/>
  <c r="A40" i="1"/>
  <c r="B40" i="1"/>
  <c r="C40" i="1"/>
  <c r="D40" i="1"/>
  <c r="E40" i="1"/>
  <c r="F40" i="1"/>
  <c r="G40" i="1"/>
  <c r="H40" i="1"/>
  <c r="I40" i="1"/>
  <c r="A41" i="1"/>
  <c r="B41" i="1"/>
  <c r="C41" i="1"/>
  <c r="D41" i="1"/>
  <c r="E41" i="1"/>
  <c r="F41" i="1"/>
  <c r="G41" i="1"/>
  <c r="H41" i="1"/>
  <c r="I41" i="1"/>
  <c r="A42" i="1"/>
  <c r="B42" i="1"/>
  <c r="C42" i="1"/>
  <c r="D42" i="1"/>
  <c r="E42" i="1"/>
  <c r="F42" i="1"/>
  <c r="G42" i="1"/>
  <c r="H42" i="1"/>
  <c r="I42" i="1"/>
  <c r="A43" i="1"/>
  <c r="B43" i="1"/>
  <c r="C43" i="1"/>
  <c r="D43" i="1"/>
  <c r="E43" i="1"/>
  <c r="F43" i="1"/>
  <c r="G43" i="1"/>
  <c r="H43" i="1"/>
  <c r="I43" i="1"/>
  <c r="A44" i="1"/>
  <c r="B44" i="1"/>
  <c r="C44" i="1"/>
  <c r="D44" i="1"/>
  <c r="E44" i="1"/>
  <c r="F44" i="1"/>
  <c r="G44" i="1"/>
  <c r="H44" i="1"/>
  <c r="I44" i="1"/>
  <c r="A45" i="1"/>
  <c r="B45" i="1"/>
  <c r="C45" i="1"/>
  <c r="D45" i="1"/>
  <c r="E45" i="1"/>
  <c r="F45" i="1"/>
  <c r="G45" i="1"/>
  <c r="H45" i="1"/>
  <c r="I45" i="1"/>
  <c r="A46" i="1"/>
  <c r="B46" i="1"/>
  <c r="C46" i="1"/>
  <c r="D46" i="1"/>
  <c r="E46" i="1"/>
  <c r="F46" i="1"/>
  <c r="G46" i="1"/>
  <c r="H46" i="1"/>
  <c r="I46" i="1"/>
  <c r="A47" i="1"/>
  <c r="B47" i="1"/>
  <c r="C47" i="1"/>
  <c r="D47" i="1"/>
  <c r="E47" i="1"/>
  <c r="F47" i="1"/>
  <c r="G47" i="1"/>
  <c r="H47" i="1"/>
  <c r="I47" i="1"/>
  <c r="A48" i="1"/>
  <c r="B48" i="1"/>
  <c r="C48" i="1"/>
  <c r="D48" i="1"/>
  <c r="E48" i="1"/>
  <c r="F48" i="1"/>
  <c r="G48" i="1"/>
  <c r="H48" i="1"/>
  <c r="I48" i="1"/>
  <c r="A49" i="1"/>
  <c r="B49" i="1"/>
  <c r="C49" i="1"/>
  <c r="D49" i="1"/>
  <c r="E49" i="1"/>
  <c r="F49" i="1"/>
  <c r="G49" i="1"/>
  <c r="H49" i="1"/>
  <c r="I49" i="1"/>
  <c r="A50" i="1"/>
  <c r="B50" i="1"/>
  <c r="C50" i="1"/>
  <c r="D50" i="1"/>
  <c r="E50" i="1"/>
  <c r="F50" i="1"/>
  <c r="G50" i="1"/>
  <c r="H50" i="1"/>
  <c r="I50" i="1"/>
  <c r="A51" i="1"/>
  <c r="B51" i="1"/>
  <c r="C51" i="1"/>
  <c r="D51" i="1"/>
  <c r="E51" i="1"/>
  <c r="F51" i="1"/>
  <c r="G51" i="1"/>
  <c r="H51" i="1"/>
  <c r="I51" i="1"/>
  <c r="A52" i="1"/>
  <c r="B52" i="1"/>
  <c r="C52" i="1"/>
  <c r="D52" i="1"/>
  <c r="E52" i="1"/>
  <c r="F52" i="1"/>
  <c r="G52" i="1"/>
  <c r="H52" i="1"/>
  <c r="I52" i="1"/>
  <c r="A53" i="1"/>
  <c r="B53" i="1"/>
  <c r="C53" i="1"/>
  <c r="D53" i="1"/>
  <c r="E53" i="1"/>
  <c r="F53" i="1"/>
  <c r="G53" i="1"/>
  <c r="H53" i="1"/>
  <c r="I53" i="1"/>
  <c r="A54" i="1"/>
  <c r="B54" i="1"/>
  <c r="C54" i="1"/>
  <c r="D54" i="1"/>
  <c r="E54" i="1"/>
  <c r="F54" i="1"/>
  <c r="G54" i="1"/>
  <c r="H54" i="1"/>
  <c r="I54" i="1"/>
  <c r="A55" i="1"/>
  <c r="B55" i="1"/>
  <c r="C55" i="1"/>
  <c r="D55" i="1"/>
  <c r="E55" i="1"/>
  <c r="F55" i="1"/>
  <c r="G55" i="1"/>
  <c r="H55" i="1"/>
  <c r="I55" i="1"/>
  <c r="A56" i="1"/>
  <c r="B56" i="1"/>
  <c r="C56" i="1"/>
  <c r="D56" i="1"/>
  <c r="E56" i="1"/>
  <c r="F56" i="1"/>
  <c r="G56" i="1"/>
  <c r="H56" i="1"/>
  <c r="I56" i="1"/>
  <c r="A57" i="1"/>
  <c r="B57" i="1"/>
  <c r="C57" i="1"/>
  <c r="D57" i="1"/>
  <c r="E57" i="1"/>
  <c r="F57" i="1"/>
  <c r="G57" i="1"/>
  <c r="H57" i="1"/>
  <c r="I57" i="1"/>
  <c r="A58" i="1"/>
  <c r="B58" i="1"/>
  <c r="C58" i="1"/>
  <c r="D58" i="1"/>
  <c r="E58" i="1"/>
  <c r="F58" i="1"/>
  <c r="G58" i="1"/>
  <c r="H58" i="1"/>
  <c r="I58" i="1"/>
  <c r="A59" i="1"/>
  <c r="B59" i="1"/>
  <c r="C59" i="1"/>
  <c r="D59" i="1"/>
  <c r="E59" i="1"/>
  <c r="F59" i="1"/>
  <c r="G59" i="1"/>
  <c r="H59" i="1"/>
  <c r="I59" i="1"/>
  <c r="A60" i="1"/>
  <c r="B60" i="1"/>
  <c r="C60" i="1"/>
  <c r="D60" i="1"/>
  <c r="E60" i="1"/>
  <c r="F60" i="1"/>
  <c r="G60" i="1"/>
  <c r="H60" i="1"/>
  <c r="I60" i="1"/>
  <c r="A61" i="1"/>
  <c r="B61" i="1"/>
  <c r="C61" i="1"/>
  <c r="D61" i="1"/>
  <c r="E61" i="1"/>
  <c r="F61" i="1"/>
  <c r="G61" i="1"/>
  <c r="H61" i="1"/>
  <c r="I61" i="1"/>
  <c r="A62" i="1"/>
  <c r="B62" i="1"/>
  <c r="C62" i="1"/>
  <c r="D62" i="1"/>
  <c r="E62" i="1"/>
  <c r="F62" i="1"/>
  <c r="G62" i="1"/>
  <c r="H62" i="1"/>
  <c r="I62" i="1"/>
  <c r="A63" i="1"/>
  <c r="B63" i="1"/>
  <c r="C63" i="1"/>
  <c r="D63" i="1"/>
  <c r="E63" i="1"/>
  <c r="F63" i="1"/>
  <c r="G63" i="1"/>
  <c r="H63" i="1"/>
  <c r="I63" i="1"/>
  <c r="A64" i="1"/>
  <c r="B64" i="1"/>
  <c r="C64" i="1"/>
  <c r="D64" i="1"/>
  <c r="E64" i="1"/>
  <c r="F64" i="1"/>
  <c r="G64" i="1"/>
  <c r="H64" i="1"/>
  <c r="I64" i="1"/>
  <c r="A65" i="1"/>
  <c r="B65" i="1"/>
  <c r="C65" i="1"/>
  <c r="D65" i="1"/>
  <c r="E65" i="1"/>
  <c r="F65" i="1"/>
  <c r="G65" i="1"/>
  <c r="H65" i="1"/>
  <c r="I65" i="1"/>
  <c r="A66" i="1"/>
  <c r="B66" i="1"/>
  <c r="C66" i="1"/>
  <c r="D66" i="1"/>
  <c r="E66" i="1"/>
  <c r="F66" i="1"/>
  <c r="G66" i="1"/>
  <c r="H66" i="1"/>
  <c r="I66" i="1"/>
  <c r="A67" i="1"/>
  <c r="B67" i="1"/>
  <c r="C67" i="1"/>
  <c r="D67" i="1"/>
  <c r="E67" i="1"/>
  <c r="F67" i="1"/>
  <c r="G67" i="1"/>
  <c r="H67" i="1"/>
  <c r="I67" i="1"/>
  <c r="A68" i="1"/>
  <c r="B68" i="1"/>
  <c r="C68" i="1"/>
  <c r="D68" i="1"/>
  <c r="E68" i="1"/>
  <c r="F68" i="1"/>
  <c r="G68" i="1"/>
  <c r="H68" i="1"/>
  <c r="I68" i="1"/>
  <c r="A69" i="1"/>
  <c r="B69" i="1"/>
  <c r="C69" i="1"/>
  <c r="D69" i="1"/>
  <c r="E69" i="1"/>
  <c r="F69" i="1"/>
  <c r="G69" i="1"/>
  <c r="H69" i="1"/>
  <c r="I69" i="1"/>
  <c r="A70" i="1"/>
  <c r="B70" i="1"/>
  <c r="C70" i="1"/>
  <c r="D70" i="1"/>
  <c r="E70" i="1"/>
  <c r="F70" i="1"/>
  <c r="G70" i="1"/>
  <c r="H70" i="1"/>
  <c r="I70" i="1"/>
  <c r="A71" i="1"/>
  <c r="B71" i="1"/>
  <c r="C71" i="1"/>
  <c r="D71" i="1"/>
  <c r="E71" i="1"/>
  <c r="F71" i="1"/>
  <c r="G71" i="1"/>
  <c r="H71" i="1"/>
  <c r="I71" i="1"/>
  <c r="A72" i="1"/>
  <c r="B72" i="1"/>
  <c r="C72" i="1"/>
  <c r="D72" i="1"/>
  <c r="E72" i="1"/>
  <c r="F72" i="1"/>
  <c r="G72" i="1"/>
  <c r="H72" i="1"/>
  <c r="I72" i="1"/>
  <c r="A73" i="1"/>
  <c r="B73" i="1"/>
  <c r="C73" i="1"/>
  <c r="D73" i="1"/>
  <c r="E73" i="1"/>
  <c r="F73" i="1"/>
  <c r="G73" i="1"/>
  <c r="H73" i="1"/>
  <c r="I73" i="1"/>
  <c r="A74" i="1"/>
  <c r="B74" i="1"/>
  <c r="C74" i="1"/>
  <c r="D74" i="1"/>
  <c r="E74" i="1"/>
  <c r="F74" i="1"/>
  <c r="G74" i="1"/>
  <c r="H74" i="1"/>
  <c r="I74" i="1"/>
  <c r="A75" i="1"/>
  <c r="B75" i="1"/>
  <c r="C75" i="1"/>
  <c r="D75" i="1"/>
  <c r="E75" i="1"/>
  <c r="F75" i="1"/>
  <c r="G75" i="1"/>
  <c r="H75" i="1"/>
  <c r="I75" i="1"/>
  <c r="A76" i="1"/>
  <c r="B76" i="1"/>
  <c r="C76" i="1"/>
  <c r="D76" i="1"/>
  <c r="E76" i="1"/>
  <c r="F76" i="1"/>
  <c r="G76" i="1"/>
  <c r="H76" i="1"/>
  <c r="I76" i="1"/>
  <c r="A77" i="1"/>
  <c r="B77" i="1"/>
  <c r="C77" i="1"/>
  <c r="D77" i="1"/>
  <c r="E77" i="1"/>
  <c r="F77" i="1"/>
  <c r="G77" i="1"/>
  <c r="H77" i="1"/>
  <c r="I77" i="1"/>
  <c r="A78" i="1"/>
  <c r="B78" i="1"/>
  <c r="C78" i="1"/>
  <c r="D78" i="1"/>
  <c r="E78" i="1"/>
  <c r="F78" i="1"/>
  <c r="G78" i="1"/>
  <c r="H78" i="1"/>
  <c r="I78" i="1"/>
  <c r="A79" i="1"/>
  <c r="B79" i="1"/>
  <c r="C79" i="1"/>
  <c r="D79" i="1"/>
  <c r="E79" i="1"/>
  <c r="F79" i="1"/>
  <c r="G79" i="1"/>
  <c r="H79" i="1"/>
  <c r="I79" i="1"/>
  <c r="A80" i="1"/>
  <c r="B80" i="1"/>
  <c r="C80" i="1"/>
  <c r="D80" i="1"/>
  <c r="E80" i="1"/>
  <c r="F80" i="1"/>
  <c r="G80" i="1"/>
  <c r="H80" i="1"/>
  <c r="I80" i="1"/>
  <c r="A81" i="1"/>
  <c r="B81" i="1"/>
  <c r="C81" i="1"/>
  <c r="D81" i="1"/>
  <c r="E81" i="1"/>
  <c r="F81" i="1"/>
  <c r="G81" i="1"/>
  <c r="H81" i="1"/>
  <c r="I81" i="1"/>
  <c r="A82" i="1"/>
  <c r="B82" i="1"/>
  <c r="C82" i="1"/>
  <c r="D82" i="1"/>
  <c r="E82" i="1"/>
  <c r="F82" i="1"/>
  <c r="G82" i="1"/>
  <c r="H82" i="1"/>
  <c r="I82" i="1"/>
  <c r="A83" i="1"/>
  <c r="B83" i="1"/>
  <c r="C83" i="1"/>
  <c r="D83" i="1"/>
  <c r="E83" i="1"/>
  <c r="F83" i="1"/>
  <c r="G83" i="1"/>
  <c r="H83" i="1"/>
  <c r="I83" i="1"/>
  <c r="A84" i="1"/>
  <c r="B84" i="1"/>
  <c r="C84" i="1"/>
  <c r="D84" i="1"/>
  <c r="E84" i="1"/>
  <c r="F84" i="1"/>
  <c r="G84" i="1"/>
  <c r="H84" i="1"/>
  <c r="I84" i="1"/>
  <c r="A85" i="1"/>
  <c r="B85" i="1"/>
  <c r="C85" i="1"/>
  <c r="D85" i="1"/>
  <c r="E85" i="1"/>
  <c r="F85" i="1"/>
  <c r="G85" i="1"/>
  <c r="H85" i="1"/>
  <c r="I85" i="1"/>
  <c r="A86" i="1"/>
  <c r="B86" i="1"/>
  <c r="C86" i="1"/>
  <c r="D86" i="1"/>
  <c r="E86" i="1"/>
  <c r="F86" i="1"/>
  <c r="G86" i="1"/>
  <c r="H86" i="1"/>
  <c r="I86" i="1"/>
  <c r="A87" i="1"/>
  <c r="B87" i="1"/>
  <c r="C87" i="1"/>
  <c r="D87" i="1"/>
  <c r="E87" i="1"/>
  <c r="F87" i="1"/>
  <c r="G87" i="1"/>
  <c r="H87" i="1"/>
  <c r="I87" i="1"/>
  <c r="A88" i="1"/>
  <c r="B88" i="1"/>
  <c r="C88" i="1"/>
  <c r="D88" i="1"/>
  <c r="E88" i="1"/>
  <c r="F88" i="1"/>
  <c r="G88" i="1"/>
  <c r="H88" i="1"/>
  <c r="I88" i="1"/>
  <c r="A89" i="1"/>
  <c r="B89" i="1"/>
  <c r="C89" i="1"/>
  <c r="D89" i="1"/>
  <c r="E89" i="1"/>
  <c r="F89" i="1"/>
  <c r="G89" i="1"/>
  <c r="H89" i="1"/>
  <c r="I89" i="1"/>
  <c r="A90" i="1"/>
  <c r="B90" i="1"/>
  <c r="C90" i="1"/>
  <c r="D90" i="1"/>
  <c r="E90" i="1"/>
  <c r="F90" i="1"/>
  <c r="G90" i="1"/>
  <c r="H90" i="1"/>
  <c r="I90" i="1"/>
  <c r="A91" i="1"/>
  <c r="B91" i="1"/>
  <c r="C91" i="1"/>
  <c r="D91" i="1"/>
  <c r="E91" i="1"/>
  <c r="F91" i="1"/>
  <c r="G91" i="1"/>
  <c r="H91" i="1"/>
  <c r="I91" i="1"/>
  <c r="A92" i="1"/>
  <c r="B92" i="1"/>
  <c r="C92" i="1"/>
  <c r="D92" i="1"/>
  <c r="E92" i="1"/>
  <c r="F92" i="1"/>
  <c r="G92" i="1"/>
  <c r="H92" i="1"/>
  <c r="I92" i="1"/>
  <c r="A93" i="1"/>
  <c r="B93" i="1"/>
  <c r="C93" i="1"/>
  <c r="D93" i="1"/>
  <c r="E93" i="1"/>
  <c r="F93" i="1"/>
  <c r="G93" i="1"/>
  <c r="H93" i="1"/>
  <c r="I93" i="1"/>
  <c r="A94" i="1"/>
  <c r="B94" i="1"/>
  <c r="C94" i="1"/>
  <c r="D94" i="1"/>
  <c r="E94" i="1"/>
  <c r="F94" i="1"/>
  <c r="G94" i="1"/>
  <c r="H94" i="1"/>
  <c r="I94" i="1"/>
  <c r="A95" i="1"/>
  <c r="B95" i="1"/>
  <c r="C95" i="1"/>
  <c r="D95" i="1"/>
  <c r="E95" i="1"/>
  <c r="F95" i="1"/>
  <c r="G95" i="1"/>
  <c r="H95" i="1"/>
  <c r="I95" i="1"/>
  <c r="A96" i="1"/>
  <c r="B96" i="1"/>
  <c r="C96" i="1"/>
  <c r="D96" i="1"/>
  <c r="E96" i="1"/>
  <c r="F96" i="1"/>
  <c r="G96" i="1"/>
  <c r="H96" i="1"/>
  <c r="I96" i="1"/>
  <c r="A97" i="1"/>
  <c r="B97" i="1"/>
  <c r="C97" i="1"/>
  <c r="D97" i="1"/>
  <c r="E97" i="1"/>
  <c r="F97" i="1"/>
  <c r="G97" i="1"/>
  <c r="H97" i="1"/>
  <c r="I97" i="1"/>
  <c r="A98" i="1"/>
  <c r="B98" i="1"/>
  <c r="C98" i="1"/>
  <c r="D98" i="1"/>
  <c r="E98" i="1"/>
  <c r="F98" i="1"/>
  <c r="G98" i="1"/>
  <c r="H98" i="1"/>
  <c r="I98" i="1"/>
  <c r="A99" i="1"/>
  <c r="B99" i="1"/>
  <c r="C99" i="1"/>
  <c r="D99" i="1"/>
  <c r="E99" i="1"/>
  <c r="F99" i="1"/>
  <c r="G99" i="1"/>
  <c r="H99" i="1"/>
  <c r="I99" i="1"/>
  <c r="A100" i="1"/>
  <c r="B100" i="1"/>
  <c r="C100" i="1"/>
  <c r="D100" i="1"/>
  <c r="E100" i="1"/>
  <c r="F100" i="1"/>
  <c r="G100" i="1"/>
  <c r="H100" i="1"/>
  <c r="I100" i="1"/>
  <c r="A101" i="1"/>
  <c r="B101" i="1"/>
  <c r="C101" i="1"/>
  <c r="D101" i="1"/>
  <c r="E101" i="1"/>
  <c r="F101" i="1"/>
  <c r="G101" i="1"/>
  <c r="H101" i="1"/>
  <c r="I101" i="1"/>
  <c r="A102" i="1"/>
  <c r="B102" i="1"/>
  <c r="C102" i="1"/>
  <c r="D102" i="1"/>
  <c r="E102" i="1"/>
  <c r="F102" i="1"/>
  <c r="G102" i="1"/>
  <c r="H102" i="1"/>
  <c r="I102" i="1"/>
  <c r="A103" i="1"/>
  <c r="B103" i="1"/>
  <c r="C103" i="1"/>
  <c r="D103" i="1"/>
  <c r="E103" i="1"/>
  <c r="F103" i="1"/>
  <c r="G103" i="1"/>
  <c r="H103" i="1"/>
  <c r="I103" i="1"/>
  <c r="A104" i="1"/>
  <c r="B104" i="1"/>
  <c r="C104" i="1"/>
  <c r="D104" i="1"/>
  <c r="E104" i="1"/>
  <c r="F104" i="1"/>
  <c r="G104" i="1"/>
  <c r="H104" i="1"/>
  <c r="I104" i="1"/>
  <c r="A105" i="1"/>
  <c r="B105" i="1"/>
  <c r="C105" i="1"/>
  <c r="D105" i="1"/>
  <c r="E105" i="1"/>
  <c r="F105" i="1"/>
  <c r="G105" i="1"/>
  <c r="H105" i="1"/>
  <c r="I105" i="1"/>
  <c r="A106" i="1"/>
  <c r="B106" i="1"/>
  <c r="C106" i="1"/>
  <c r="D106" i="1"/>
  <c r="E106" i="1"/>
  <c r="F106" i="1"/>
  <c r="G106" i="1"/>
  <c r="H106" i="1"/>
  <c r="I106" i="1"/>
  <c r="A107" i="1"/>
  <c r="B107" i="1"/>
  <c r="C107" i="1"/>
  <c r="D107" i="1"/>
  <c r="E107" i="1"/>
  <c r="F107" i="1"/>
  <c r="G107" i="1"/>
  <c r="H107" i="1"/>
  <c r="I107" i="1"/>
  <c r="A108" i="1"/>
  <c r="B108" i="1"/>
  <c r="C108" i="1"/>
  <c r="D108" i="1"/>
  <c r="E108" i="1"/>
  <c r="F108" i="1"/>
  <c r="G108" i="1"/>
  <c r="H108" i="1"/>
  <c r="I108" i="1"/>
  <c r="A109" i="1"/>
  <c r="B109" i="1"/>
  <c r="C109" i="1"/>
  <c r="D109" i="1"/>
  <c r="E109" i="1"/>
  <c r="F109" i="1"/>
  <c r="G109" i="1"/>
  <c r="H109" i="1"/>
  <c r="I109" i="1"/>
  <c r="A110" i="1"/>
  <c r="B110" i="1"/>
  <c r="C110" i="1"/>
  <c r="D110" i="1"/>
  <c r="E110" i="1"/>
  <c r="F110" i="1"/>
  <c r="G110" i="1"/>
  <c r="H110" i="1"/>
  <c r="I110" i="1"/>
  <c r="A111" i="1"/>
  <c r="B111" i="1"/>
  <c r="C111" i="1"/>
  <c r="D111" i="1"/>
  <c r="E111" i="1"/>
  <c r="F111" i="1"/>
  <c r="G111" i="1"/>
  <c r="H111" i="1"/>
  <c r="I111" i="1"/>
  <c r="A112" i="1"/>
  <c r="B112" i="1"/>
  <c r="C112" i="1"/>
  <c r="D112" i="1"/>
  <c r="E112" i="1"/>
  <c r="F112" i="1"/>
  <c r="G112" i="1"/>
  <c r="H112" i="1"/>
  <c r="I112" i="1"/>
  <c r="A113" i="1"/>
  <c r="B113" i="1"/>
  <c r="C113" i="1"/>
  <c r="D113" i="1"/>
  <c r="E113" i="1"/>
  <c r="F113" i="1"/>
  <c r="G113" i="1"/>
  <c r="H113" i="1"/>
  <c r="I113" i="1"/>
  <c r="A114" i="1"/>
  <c r="B114" i="1"/>
  <c r="C114" i="1"/>
  <c r="D114" i="1"/>
  <c r="E114" i="1"/>
  <c r="F114" i="1"/>
  <c r="G114" i="1"/>
  <c r="H114" i="1"/>
  <c r="I114" i="1"/>
  <c r="A115" i="1"/>
  <c r="B115" i="1"/>
  <c r="C115" i="1"/>
  <c r="D115" i="1"/>
  <c r="E115" i="1"/>
  <c r="F115" i="1"/>
  <c r="G115" i="1"/>
  <c r="H115" i="1"/>
  <c r="I115" i="1"/>
  <c r="A116" i="1"/>
  <c r="B116" i="1"/>
  <c r="C116" i="1"/>
  <c r="D116" i="1"/>
  <c r="E116" i="1"/>
  <c r="F116" i="1"/>
  <c r="G116" i="1"/>
  <c r="H116" i="1"/>
  <c r="I116" i="1"/>
  <c r="A117" i="1"/>
  <c r="B117" i="1"/>
  <c r="C117" i="1"/>
  <c r="D117" i="1"/>
  <c r="E117" i="1"/>
  <c r="F117" i="1"/>
  <c r="G117" i="1"/>
  <c r="H117" i="1"/>
  <c r="I117" i="1"/>
  <c r="A118" i="1"/>
  <c r="B118" i="1"/>
  <c r="C118" i="1"/>
  <c r="D118" i="1"/>
  <c r="E118" i="1"/>
  <c r="F118" i="1"/>
  <c r="G118" i="1"/>
  <c r="H118" i="1"/>
  <c r="I118" i="1"/>
  <c r="A119" i="1"/>
  <c r="B119" i="1"/>
  <c r="C119" i="1"/>
  <c r="D119" i="1"/>
  <c r="E119" i="1"/>
  <c r="F119" i="1"/>
  <c r="G119" i="1"/>
  <c r="H119" i="1"/>
  <c r="I119" i="1"/>
  <c r="A120" i="1"/>
  <c r="B120" i="1"/>
  <c r="C120" i="1"/>
  <c r="D120" i="1"/>
  <c r="E120" i="1"/>
  <c r="F120" i="1"/>
  <c r="G120" i="1"/>
  <c r="H120" i="1"/>
  <c r="I120" i="1"/>
  <c r="A121" i="1"/>
  <c r="B121" i="1"/>
  <c r="C121" i="1"/>
  <c r="D121" i="1"/>
  <c r="E121" i="1"/>
  <c r="F121" i="1"/>
  <c r="G121" i="1"/>
  <c r="H121" i="1"/>
  <c r="I121" i="1"/>
  <c r="A122" i="1"/>
  <c r="B122" i="1"/>
  <c r="C122" i="1"/>
  <c r="D122" i="1"/>
  <c r="E122" i="1"/>
  <c r="F122" i="1"/>
  <c r="G122" i="1"/>
  <c r="H122" i="1"/>
  <c r="I122" i="1"/>
  <c r="A123" i="1"/>
  <c r="B123" i="1"/>
  <c r="C123" i="1"/>
  <c r="D123" i="1"/>
  <c r="E123" i="1"/>
  <c r="F123" i="1"/>
  <c r="G123" i="1"/>
  <c r="H123" i="1"/>
  <c r="I123" i="1"/>
  <c r="A124" i="1"/>
  <c r="B124" i="1"/>
  <c r="C124" i="1"/>
  <c r="D124" i="1"/>
  <c r="E124" i="1"/>
  <c r="F124" i="1"/>
  <c r="G124" i="1"/>
  <c r="H124" i="1"/>
  <c r="I124" i="1"/>
  <c r="A125" i="1"/>
  <c r="B125" i="1"/>
  <c r="C125" i="1"/>
  <c r="D125" i="1"/>
  <c r="E125" i="1"/>
  <c r="F125" i="1"/>
  <c r="G125" i="1"/>
  <c r="H125" i="1"/>
  <c r="I125" i="1"/>
  <c r="A126" i="1"/>
  <c r="B126" i="1"/>
  <c r="C126" i="1"/>
  <c r="D126" i="1"/>
  <c r="E126" i="1"/>
  <c r="F126" i="1"/>
  <c r="G126" i="1"/>
  <c r="H126" i="1"/>
  <c r="I126" i="1"/>
  <c r="A127" i="1"/>
  <c r="B127" i="1"/>
  <c r="C127" i="1"/>
  <c r="D127" i="1"/>
  <c r="E127" i="1"/>
  <c r="F127" i="1"/>
  <c r="G127" i="1"/>
  <c r="H127" i="1"/>
  <c r="I127" i="1"/>
  <c r="A128" i="1"/>
  <c r="B128" i="1"/>
  <c r="C128" i="1"/>
  <c r="D128" i="1"/>
  <c r="E128" i="1"/>
  <c r="F128" i="1"/>
  <c r="G128" i="1"/>
  <c r="H128" i="1"/>
  <c r="I128" i="1"/>
  <c r="A129" i="1"/>
  <c r="B129" i="1"/>
  <c r="C129" i="1"/>
  <c r="D129" i="1"/>
  <c r="E129" i="1"/>
  <c r="F129" i="1"/>
  <c r="G129" i="1"/>
  <c r="H129" i="1"/>
  <c r="I129" i="1"/>
  <c r="A130" i="1"/>
  <c r="B130" i="1"/>
  <c r="C130" i="1"/>
  <c r="D130" i="1"/>
  <c r="E130" i="1"/>
  <c r="F130" i="1"/>
  <c r="G130" i="1"/>
  <c r="H130" i="1"/>
  <c r="I130" i="1"/>
  <c r="A131" i="1"/>
  <c r="B131" i="1"/>
  <c r="C131" i="1"/>
  <c r="D131" i="1"/>
  <c r="E131" i="1"/>
  <c r="F131" i="1"/>
  <c r="G131" i="1"/>
  <c r="H131" i="1"/>
  <c r="I131" i="1"/>
  <c r="A132" i="1"/>
  <c r="B132" i="1"/>
  <c r="C132" i="1"/>
  <c r="D132" i="1"/>
  <c r="E132" i="1"/>
  <c r="F132" i="1"/>
  <c r="G132" i="1"/>
  <c r="H132" i="1"/>
  <c r="I132" i="1"/>
  <c r="A133" i="1"/>
  <c r="B133" i="1"/>
  <c r="C133" i="1"/>
  <c r="D133" i="1"/>
  <c r="E133" i="1"/>
  <c r="F133" i="1"/>
  <c r="G133" i="1"/>
  <c r="H133" i="1"/>
  <c r="I133" i="1"/>
  <c r="A134" i="1"/>
  <c r="B134" i="1"/>
  <c r="C134" i="1"/>
  <c r="D134" i="1"/>
  <c r="E134" i="1"/>
  <c r="F134" i="1"/>
  <c r="G134" i="1"/>
  <c r="H134" i="1"/>
  <c r="I134" i="1"/>
  <c r="A135" i="1"/>
  <c r="B135" i="1"/>
  <c r="C135" i="1"/>
  <c r="D135" i="1"/>
  <c r="E135" i="1"/>
  <c r="F135" i="1"/>
  <c r="G135" i="1"/>
  <c r="H135" i="1"/>
  <c r="I135" i="1"/>
  <c r="A136" i="1"/>
  <c r="B136" i="1"/>
  <c r="C136" i="1"/>
  <c r="D136" i="1"/>
  <c r="E136" i="1"/>
  <c r="F136" i="1"/>
  <c r="G136" i="1"/>
  <c r="H136" i="1"/>
  <c r="I136" i="1"/>
  <c r="A137" i="1"/>
  <c r="B137" i="1"/>
  <c r="C137" i="1"/>
  <c r="D137" i="1"/>
  <c r="E137" i="1"/>
  <c r="F137" i="1"/>
  <c r="G137" i="1"/>
  <c r="H137" i="1"/>
  <c r="I137" i="1"/>
  <c r="A138" i="1"/>
  <c r="B138" i="1"/>
  <c r="C138" i="1"/>
  <c r="D138" i="1"/>
  <c r="E138" i="1"/>
  <c r="F138" i="1"/>
  <c r="G138" i="1"/>
  <c r="H138" i="1"/>
  <c r="I138" i="1"/>
  <c r="A139" i="1"/>
  <c r="B139" i="1"/>
  <c r="C139" i="1"/>
  <c r="D139" i="1"/>
  <c r="E139" i="1"/>
  <c r="F139" i="1"/>
  <c r="G139" i="1"/>
  <c r="H139" i="1"/>
  <c r="I139" i="1"/>
  <c r="A140" i="1"/>
  <c r="B140" i="1"/>
  <c r="C140" i="1"/>
  <c r="D140" i="1"/>
  <c r="E140" i="1"/>
  <c r="F140" i="1"/>
  <c r="G140" i="1"/>
  <c r="H140" i="1"/>
  <c r="I140" i="1"/>
  <c r="A141" i="1"/>
  <c r="B141" i="1"/>
  <c r="C141" i="1"/>
  <c r="D141" i="1"/>
  <c r="E141" i="1"/>
  <c r="F141" i="1"/>
  <c r="G141" i="1"/>
  <c r="H141" i="1"/>
  <c r="I141" i="1"/>
  <c r="A142" i="1"/>
  <c r="B142" i="1"/>
  <c r="C142" i="1"/>
  <c r="D142" i="1"/>
  <c r="E142" i="1"/>
  <c r="F142" i="1"/>
  <c r="G142" i="1"/>
  <c r="H142" i="1"/>
  <c r="I142" i="1"/>
  <c r="A143" i="1"/>
  <c r="B143" i="1"/>
  <c r="C143" i="1"/>
  <c r="D143" i="1"/>
  <c r="E143" i="1"/>
  <c r="F143" i="1"/>
  <c r="G143" i="1"/>
  <c r="H143" i="1"/>
  <c r="I143" i="1"/>
  <c r="A144" i="1"/>
  <c r="B144" i="1"/>
  <c r="C144" i="1"/>
  <c r="D144" i="1"/>
  <c r="E144" i="1"/>
  <c r="F144" i="1"/>
  <c r="G144" i="1"/>
  <c r="H144" i="1"/>
  <c r="I144" i="1"/>
  <c r="A145" i="1"/>
  <c r="B145" i="1"/>
  <c r="C145" i="1"/>
  <c r="D145" i="1"/>
  <c r="E145" i="1"/>
  <c r="F145" i="1"/>
  <c r="G145" i="1"/>
  <c r="H145" i="1"/>
  <c r="I145" i="1"/>
  <c r="A146" i="1"/>
  <c r="B146" i="1"/>
  <c r="C146" i="1"/>
  <c r="D146" i="1"/>
  <c r="E146" i="1"/>
  <c r="F146" i="1"/>
  <c r="G146" i="1"/>
  <c r="H146" i="1"/>
  <c r="I146" i="1"/>
  <c r="A147" i="1"/>
  <c r="B147" i="1"/>
  <c r="C147" i="1"/>
  <c r="D147" i="1"/>
  <c r="E147" i="1"/>
  <c r="F147" i="1"/>
  <c r="G147" i="1"/>
  <c r="H147" i="1"/>
  <c r="I147" i="1"/>
  <c r="A148" i="1"/>
  <c r="B148" i="1"/>
  <c r="C148" i="1"/>
  <c r="D148" i="1"/>
  <c r="E148" i="1"/>
  <c r="F148" i="1"/>
  <c r="G148" i="1"/>
  <c r="H148" i="1"/>
  <c r="I148" i="1"/>
  <c r="A149" i="1"/>
  <c r="B149" i="1"/>
  <c r="C149" i="1"/>
  <c r="D149" i="1"/>
  <c r="E149" i="1"/>
  <c r="F149" i="1"/>
  <c r="G149" i="1"/>
  <c r="H149" i="1"/>
  <c r="I149" i="1"/>
  <c r="A150" i="1"/>
  <c r="B150" i="1"/>
  <c r="C150" i="1"/>
  <c r="D150" i="1"/>
  <c r="E150" i="1"/>
  <c r="F150" i="1"/>
  <c r="G150" i="1"/>
  <c r="H150" i="1"/>
  <c r="I150" i="1"/>
  <c r="A151" i="1"/>
  <c r="B151" i="1"/>
  <c r="C151" i="1"/>
  <c r="D151" i="1"/>
  <c r="E151" i="1"/>
  <c r="F151" i="1"/>
  <c r="G151" i="1"/>
  <c r="H151" i="1"/>
  <c r="I151" i="1"/>
  <c r="A152" i="1"/>
  <c r="B152" i="1"/>
  <c r="C152" i="1"/>
  <c r="D152" i="1"/>
  <c r="E152" i="1"/>
  <c r="F152" i="1"/>
  <c r="G152" i="1"/>
  <c r="H152" i="1"/>
  <c r="I152" i="1"/>
  <c r="A153" i="1"/>
  <c r="B153" i="1"/>
  <c r="C153" i="1"/>
  <c r="D153" i="1"/>
  <c r="E153" i="1"/>
  <c r="F153" i="1"/>
  <c r="G153" i="1"/>
  <c r="H153" i="1"/>
  <c r="I153" i="1"/>
  <c r="A154" i="1"/>
  <c r="B154" i="1"/>
  <c r="C154" i="1"/>
  <c r="D154" i="1"/>
  <c r="E154" i="1"/>
  <c r="F154" i="1"/>
  <c r="G154" i="1"/>
  <c r="H154" i="1"/>
  <c r="I154" i="1"/>
  <c r="A155" i="1"/>
  <c r="B155" i="1"/>
  <c r="C155" i="1"/>
  <c r="D155" i="1"/>
  <c r="E155" i="1"/>
  <c r="F155" i="1"/>
  <c r="G155" i="1"/>
  <c r="H155" i="1"/>
  <c r="I155" i="1"/>
  <c r="A156" i="1"/>
  <c r="B156" i="1"/>
  <c r="C156" i="1"/>
  <c r="D156" i="1"/>
  <c r="E156" i="1"/>
  <c r="F156" i="1"/>
  <c r="G156" i="1"/>
  <c r="H156" i="1"/>
  <c r="I156" i="1"/>
  <c r="A157" i="1"/>
  <c r="B157" i="1"/>
  <c r="C157" i="1"/>
  <c r="D157" i="1"/>
  <c r="E157" i="1"/>
  <c r="F157" i="1"/>
  <c r="G157" i="1"/>
  <c r="H157" i="1"/>
  <c r="I157" i="1"/>
  <c r="A158" i="1"/>
  <c r="B158" i="1"/>
  <c r="C158" i="1"/>
  <c r="D158" i="1"/>
  <c r="E158" i="1"/>
  <c r="F158" i="1"/>
  <c r="G158" i="1"/>
  <c r="H158" i="1"/>
  <c r="I158" i="1"/>
  <c r="A159" i="1"/>
  <c r="B159" i="1"/>
  <c r="C159" i="1"/>
  <c r="D159" i="1"/>
  <c r="E159" i="1"/>
  <c r="F159" i="1"/>
  <c r="G159" i="1"/>
  <c r="H159" i="1"/>
  <c r="I159" i="1"/>
  <c r="A160" i="1"/>
  <c r="B160" i="1"/>
  <c r="C160" i="1"/>
  <c r="D160" i="1"/>
  <c r="E160" i="1"/>
  <c r="F160" i="1"/>
  <c r="G160" i="1"/>
  <c r="H160" i="1"/>
  <c r="I160" i="1"/>
  <c r="A161" i="1"/>
  <c r="B161" i="1"/>
  <c r="C161" i="1"/>
  <c r="D161" i="1"/>
  <c r="E161" i="1"/>
  <c r="F161" i="1"/>
  <c r="G161" i="1"/>
  <c r="H161" i="1"/>
  <c r="I161" i="1"/>
  <c r="A162" i="1"/>
  <c r="B162" i="1"/>
  <c r="C162" i="1"/>
  <c r="D162" i="1"/>
  <c r="E162" i="1"/>
  <c r="F162" i="1"/>
  <c r="G162" i="1"/>
  <c r="H162" i="1"/>
  <c r="I162" i="1"/>
  <c r="A163" i="1"/>
  <c r="B163" i="1"/>
  <c r="C163" i="1"/>
  <c r="D163" i="1"/>
  <c r="E163" i="1"/>
  <c r="F163" i="1"/>
  <c r="G163" i="1"/>
  <c r="H163" i="1"/>
  <c r="I163" i="1"/>
  <c r="A164" i="1"/>
  <c r="B164" i="1"/>
  <c r="C164" i="1"/>
  <c r="D164" i="1"/>
  <c r="E164" i="1"/>
  <c r="F164" i="1"/>
  <c r="G164" i="1"/>
  <c r="H164" i="1"/>
  <c r="I164" i="1"/>
  <c r="A165" i="1"/>
  <c r="B165" i="1"/>
  <c r="C165" i="1"/>
  <c r="D165" i="1"/>
  <c r="E165" i="1"/>
  <c r="F165" i="1"/>
  <c r="G165" i="1"/>
  <c r="H165" i="1"/>
  <c r="I165" i="1"/>
  <c r="A166" i="1"/>
  <c r="B166" i="1"/>
  <c r="C166" i="1"/>
  <c r="D166" i="1"/>
  <c r="E166" i="1"/>
  <c r="F166" i="1"/>
  <c r="G166" i="1"/>
  <c r="H166" i="1"/>
  <c r="I166" i="1"/>
  <c r="A167" i="1"/>
  <c r="B167" i="1"/>
  <c r="C167" i="1"/>
  <c r="D167" i="1"/>
  <c r="E167" i="1"/>
  <c r="F167" i="1"/>
  <c r="G167" i="1"/>
  <c r="H167" i="1"/>
  <c r="I167" i="1"/>
  <c r="A168" i="1"/>
  <c r="B168" i="1"/>
  <c r="C168" i="1"/>
  <c r="D168" i="1"/>
  <c r="E168" i="1"/>
  <c r="F168" i="1"/>
  <c r="G168" i="1"/>
  <c r="H168" i="1"/>
  <c r="I168" i="1"/>
  <c r="A169" i="1"/>
  <c r="B169" i="1"/>
  <c r="C169" i="1"/>
  <c r="D169" i="1"/>
  <c r="E169" i="1"/>
  <c r="F169" i="1"/>
  <c r="G169" i="1"/>
  <c r="H169" i="1"/>
  <c r="I169" i="1"/>
  <c r="A170" i="1"/>
  <c r="B170" i="1"/>
  <c r="C170" i="1"/>
  <c r="D170" i="1"/>
  <c r="E170" i="1"/>
  <c r="F170" i="1"/>
  <c r="G170" i="1"/>
  <c r="H170" i="1"/>
  <c r="I170" i="1"/>
  <c r="A171" i="1"/>
  <c r="B171" i="1"/>
  <c r="C171" i="1"/>
  <c r="D171" i="1"/>
  <c r="E171" i="1"/>
  <c r="F171" i="1"/>
  <c r="G171" i="1"/>
  <c r="H171" i="1"/>
  <c r="I171" i="1"/>
  <c r="A172" i="1"/>
  <c r="B172" i="1"/>
  <c r="C172" i="1"/>
  <c r="D172" i="1"/>
  <c r="E172" i="1"/>
  <c r="F172" i="1"/>
  <c r="G172" i="1"/>
  <c r="H172" i="1"/>
  <c r="I172" i="1"/>
  <c r="A173" i="1"/>
  <c r="B173" i="1"/>
  <c r="C173" i="1"/>
  <c r="D173" i="1"/>
  <c r="E173" i="1"/>
  <c r="F173" i="1"/>
  <c r="G173" i="1"/>
  <c r="H173" i="1"/>
  <c r="I173" i="1"/>
  <c r="A174" i="1"/>
  <c r="B174" i="1"/>
  <c r="C174" i="1"/>
  <c r="D174" i="1"/>
  <c r="E174" i="1"/>
  <c r="F174" i="1"/>
  <c r="G174" i="1"/>
  <c r="H174" i="1"/>
  <c r="I174" i="1"/>
  <c r="A175" i="1"/>
  <c r="B175" i="1"/>
  <c r="C175" i="1"/>
  <c r="D175" i="1"/>
  <c r="E175" i="1"/>
  <c r="F175" i="1"/>
  <c r="G175" i="1"/>
  <c r="H175" i="1"/>
  <c r="I175" i="1"/>
  <c r="A176" i="1"/>
  <c r="B176" i="1"/>
  <c r="C176" i="1"/>
  <c r="D176" i="1"/>
  <c r="E176" i="1"/>
  <c r="F176" i="1"/>
  <c r="G176" i="1"/>
  <c r="H176" i="1"/>
  <c r="I176" i="1"/>
  <c r="A177" i="1"/>
  <c r="B177" i="1"/>
  <c r="C177" i="1"/>
  <c r="D177" i="1"/>
  <c r="E177" i="1"/>
  <c r="F177" i="1"/>
  <c r="G177" i="1"/>
  <c r="H177" i="1"/>
  <c r="I177" i="1"/>
  <c r="A178" i="1"/>
  <c r="B178" i="1"/>
  <c r="C178" i="1"/>
  <c r="D178" i="1"/>
  <c r="E178" i="1"/>
  <c r="F178" i="1"/>
  <c r="G178" i="1"/>
  <c r="H178" i="1"/>
  <c r="I178" i="1"/>
  <c r="A179" i="1"/>
  <c r="B179" i="1"/>
  <c r="C179" i="1"/>
  <c r="D179" i="1"/>
  <c r="E179" i="1"/>
  <c r="F179" i="1"/>
  <c r="G179" i="1"/>
  <c r="H179" i="1"/>
  <c r="I179" i="1"/>
  <c r="A180" i="1"/>
  <c r="B180" i="1"/>
  <c r="C180" i="1"/>
  <c r="D180" i="1"/>
  <c r="E180" i="1"/>
  <c r="F180" i="1"/>
  <c r="G180" i="1"/>
  <c r="H180" i="1"/>
  <c r="I180" i="1"/>
  <c r="A181" i="1"/>
  <c r="B181" i="1"/>
  <c r="C181" i="1"/>
  <c r="D181" i="1"/>
  <c r="E181" i="1"/>
  <c r="F181" i="1"/>
  <c r="G181" i="1"/>
  <c r="H181" i="1"/>
  <c r="I181" i="1"/>
  <c r="A182" i="1"/>
  <c r="B182" i="1"/>
  <c r="C182" i="1"/>
  <c r="D182" i="1"/>
  <c r="E182" i="1"/>
  <c r="F182" i="1"/>
  <c r="G182" i="1"/>
  <c r="H182" i="1"/>
  <c r="I182" i="1"/>
  <c r="A183" i="1"/>
  <c r="B183" i="1"/>
  <c r="C183" i="1"/>
  <c r="D183" i="1"/>
  <c r="E183" i="1"/>
  <c r="F183" i="1"/>
  <c r="G183" i="1"/>
  <c r="H183" i="1"/>
  <c r="I183" i="1"/>
  <c r="A184" i="1"/>
  <c r="B184" i="1"/>
  <c r="C184" i="1"/>
  <c r="D184" i="1"/>
  <c r="E184" i="1"/>
  <c r="F184" i="1"/>
  <c r="G184" i="1"/>
  <c r="H184" i="1"/>
  <c r="I184" i="1"/>
  <c r="A185" i="1"/>
  <c r="B185" i="1"/>
  <c r="C185" i="1"/>
  <c r="D185" i="1"/>
  <c r="E185" i="1"/>
  <c r="F185" i="1"/>
  <c r="G185" i="1"/>
  <c r="H185" i="1"/>
  <c r="I185" i="1"/>
  <c r="A186" i="1"/>
  <c r="B186" i="1"/>
  <c r="C186" i="1"/>
  <c r="D186" i="1"/>
  <c r="E186" i="1"/>
  <c r="F186" i="1"/>
  <c r="G186" i="1"/>
  <c r="H186" i="1"/>
  <c r="I186" i="1"/>
  <c r="A187" i="1"/>
  <c r="B187" i="1"/>
  <c r="C187" i="1"/>
  <c r="D187" i="1"/>
  <c r="E187" i="1"/>
  <c r="F187" i="1"/>
  <c r="G187" i="1"/>
  <c r="H187" i="1"/>
  <c r="I187" i="1"/>
  <c r="A188" i="1"/>
  <c r="B188" i="1"/>
  <c r="C188" i="1"/>
  <c r="D188" i="1"/>
  <c r="E188" i="1"/>
  <c r="F188" i="1"/>
  <c r="G188" i="1"/>
  <c r="H188" i="1"/>
  <c r="I188" i="1"/>
  <c r="A189" i="1"/>
  <c r="B189" i="1"/>
  <c r="C189" i="1"/>
  <c r="D189" i="1"/>
  <c r="E189" i="1"/>
  <c r="F189" i="1"/>
  <c r="G189" i="1"/>
  <c r="H189" i="1"/>
  <c r="I189" i="1"/>
  <c r="A190" i="1"/>
  <c r="B190" i="1"/>
  <c r="C190" i="1"/>
  <c r="D190" i="1"/>
  <c r="E190" i="1"/>
  <c r="F190" i="1"/>
  <c r="G190" i="1"/>
  <c r="H190" i="1"/>
  <c r="I190" i="1"/>
  <c r="A191" i="1"/>
  <c r="B191" i="1"/>
  <c r="C191" i="1"/>
  <c r="D191" i="1"/>
  <c r="E191" i="1"/>
  <c r="F191" i="1"/>
  <c r="G191" i="1"/>
  <c r="H191" i="1"/>
  <c r="I191" i="1"/>
  <c r="A192" i="1"/>
  <c r="B192" i="1"/>
  <c r="C192" i="1"/>
  <c r="D192" i="1"/>
  <c r="E192" i="1"/>
  <c r="F192" i="1"/>
  <c r="G192" i="1"/>
  <c r="H192" i="1"/>
  <c r="I192" i="1"/>
  <c r="A193" i="1"/>
  <c r="B193" i="1"/>
  <c r="C193" i="1"/>
  <c r="D193" i="1"/>
  <c r="E193" i="1"/>
  <c r="F193" i="1"/>
  <c r="G193" i="1"/>
  <c r="H193" i="1"/>
  <c r="I193" i="1"/>
  <c r="A194" i="1"/>
  <c r="B194" i="1"/>
  <c r="C194" i="1"/>
  <c r="D194" i="1"/>
  <c r="E194" i="1"/>
  <c r="F194" i="1"/>
  <c r="G194" i="1"/>
  <c r="H194" i="1"/>
  <c r="I194" i="1"/>
  <c r="A195" i="1"/>
  <c r="B195" i="1"/>
  <c r="C195" i="1"/>
  <c r="D195" i="1"/>
  <c r="E195" i="1"/>
  <c r="F195" i="1"/>
  <c r="G195" i="1"/>
  <c r="H195" i="1"/>
  <c r="I195" i="1"/>
  <c r="A196" i="1"/>
  <c r="B196" i="1"/>
  <c r="C196" i="1"/>
  <c r="D196" i="1"/>
  <c r="E196" i="1"/>
  <c r="F196" i="1"/>
  <c r="G196" i="1"/>
  <c r="H196" i="1"/>
  <c r="I196" i="1"/>
  <c r="A197" i="1"/>
  <c r="B197" i="1"/>
  <c r="C197" i="1"/>
  <c r="D197" i="1"/>
  <c r="E197" i="1"/>
  <c r="F197" i="1"/>
  <c r="G197" i="1"/>
  <c r="H197" i="1"/>
  <c r="I197" i="1"/>
  <c r="A198" i="1"/>
  <c r="B198" i="1"/>
  <c r="C198" i="1"/>
  <c r="D198" i="1"/>
  <c r="E198" i="1"/>
  <c r="F198" i="1"/>
  <c r="G198" i="1"/>
  <c r="H198" i="1"/>
  <c r="I198" i="1"/>
  <c r="A199" i="1"/>
  <c r="B199" i="1"/>
  <c r="C199" i="1"/>
  <c r="D199" i="1"/>
  <c r="E199" i="1"/>
  <c r="F199" i="1"/>
  <c r="G199" i="1"/>
  <c r="H199" i="1"/>
  <c r="I199" i="1"/>
  <c r="A200" i="1"/>
  <c r="B200" i="1"/>
  <c r="C200" i="1"/>
  <c r="D200" i="1"/>
  <c r="E200" i="1"/>
  <c r="F200" i="1"/>
  <c r="G200" i="1"/>
  <c r="H200" i="1"/>
  <c r="I200" i="1"/>
  <c r="A201" i="1"/>
  <c r="B201" i="1"/>
  <c r="C201" i="1"/>
  <c r="D201" i="1"/>
  <c r="E201" i="1"/>
  <c r="F201" i="1"/>
  <c r="G201" i="1"/>
  <c r="H201" i="1"/>
  <c r="I201" i="1"/>
  <c r="A202" i="1"/>
  <c r="B202" i="1"/>
  <c r="C202" i="1"/>
  <c r="D202" i="1"/>
  <c r="E202" i="1"/>
  <c r="F202" i="1"/>
  <c r="G202" i="1"/>
  <c r="H202" i="1"/>
  <c r="I202" i="1"/>
  <c r="A203" i="1"/>
  <c r="B203" i="1"/>
  <c r="C203" i="1"/>
  <c r="D203" i="1"/>
  <c r="E203" i="1"/>
  <c r="F203" i="1"/>
  <c r="G203" i="1"/>
  <c r="H203" i="1"/>
  <c r="I203" i="1"/>
  <c r="A204" i="1"/>
  <c r="B204" i="1"/>
  <c r="C204" i="1"/>
  <c r="D204" i="1"/>
  <c r="E204" i="1"/>
  <c r="F204" i="1"/>
  <c r="G204" i="1"/>
  <c r="H204" i="1"/>
  <c r="I204" i="1"/>
  <c r="A205" i="1"/>
  <c r="B205" i="1"/>
  <c r="C205" i="1"/>
  <c r="D205" i="1"/>
  <c r="E205" i="1"/>
  <c r="F205" i="1"/>
  <c r="G205" i="1"/>
  <c r="H205" i="1"/>
  <c r="I205" i="1"/>
  <c r="A206" i="1"/>
  <c r="B206" i="1"/>
  <c r="C206" i="1"/>
  <c r="D206" i="1"/>
  <c r="E206" i="1"/>
  <c r="F206" i="1"/>
  <c r="G206" i="1"/>
  <c r="H206" i="1"/>
  <c r="I206" i="1"/>
  <c r="A207" i="1"/>
  <c r="B207" i="1"/>
  <c r="C207" i="1"/>
  <c r="D207" i="1"/>
  <c r="E207" i="1"/>
  <c r="F207" i="1"/>
  <c r="G207" i="1"/>
  <c r="H207" i="1"/>
  <c r="I207" i="1"/>
  <c r="A208" i="1"/>
  <c r="B208" i="1"/>
  <c r="C208" i="1"/>
  <c r="D208" i="1"/>
  <c r="E208" i="1"/>
  <c r="F208" i="1"/>
  <c r="G208" i="1"/>
  <c r="H208" i="1"/>
  <c r="I208" i="1"/>
  <c r="A209" i="1"/>
  <c r="B209" i="1"/>
  <c r="C209" i="1"/>
  <c r="D209" i="1"/>
  <c r="E209" i="1"/>
  <c r="F209" i="1"/>
  <c r="G209" i="1"/>
  <c r="H209" i="1"/>
  <c r="I209" i="1"/>
  <c r="A210" i="1"/>
  <c r="B210" i="1"/>
  <c r="C210" i="1"/>
  <c r="D210" i="1"/>
  <c r="E210" i="1"/>
  <c r="F210" i="1"/>
  <c r="G210" i="1"/>
  <c r="H210" i="1"/>
  <c r="I210" i="1"/>
  <c r="A211" i="1"/>
  <c r="B211" i="1"/>
  <c r="C211" i="1"/>
  <c r="D211" i="1"/>
  <c r="E211" i="1"/>
  <c r="F211" i="1"/>
  <c r="G211" i="1"/>
  <c r="H211" i="1"/>
  <c r="I211" i="1"/>
  <c r="A212" i="1"/>
  <c r="B212" i="1"/>
  <c r="C212" i="1"/>
  <c r="D212" i="1"/>
  <c r="E212" i="1"/>
  <c r="F212" i="1"/>
  <c r="G212" i="1"/>
  <c r="H212" i="1"/>
  <c r="I212" i="1"/>
  <c r="A213" i="1"/>
  <c r="B213" i="1"/>
  <c r="C213" i="1"/>
  <c r="D213" i="1"/>
  <c r="E213" i="1"/>
  <c r="F213" i="1"/>
  <c r="G213" i="1"/>
  <c r="H213" i="1"/>
  <c r="I213" i="1"/>
  <c r="A214" i="1"/>
  <c r="B214" i="1"/>
  <c r="C214" i="1"/>
  <c r="D214" i="1"/>
  <c r="E214" i="1"/>
  <c r="F214" i="1"/>
  <c r="G214" i="1"/>
  <c r="H214" i="1"/>
  <c r="I214" i="1"/>
  <c r="A215" i="1"/>
  <c r="B215" i="1"/>
  <c r="C215" i="1"/>
  <c r="D215" i="1"/>
  <c r="E215" i="1"/>
  <c r="F215" i="1"/>
  <c r="G215" i="1"/>
  <c r="H215" i="1"/>
  <c r="I215" i="1"/>
  <c r="A216" i="1"/>
  <c r="B216" i="1"/>
  <c r="C216" i="1"/>
  <c r="D216" i="1"/>
  <c r="E216" i="1"/>
  <c r="F216" i="1"/>
  <c r="G216" i="1"/>
  <c r="H216" i="1"/>
  <c r="I216" i="1"/>
  <c r="A217" i="1"/>
  <c r="B217" i="1"/>
  <c r="C217" i="1"/>
  <c r="D217" i="1"/>
  <c r="E217" i="1"/>
  <c r="F217" i="1"/>
  <c r="G217" i="1"/>
  <c r="H217" i="1"/>
  <c r="I217" i="1"/>
  <c r="A218" i="1"/>
  <c r="B218" i="1"/>
  <c r="C218" i="1"/>
  <c r="D218" i="1"/>
  <c r="E218" i="1"/>
  <c r="F218" i="1"/>
  <c r="G218" i="1"/>
  <c r="H218" i="1"/>
  <c r="I218" i="1"/>
  <c r="A219" i="1"/>
  <c r="B219" i="1"/>
  <c r="C219" i="1"/>
  <c r="D219" i="1"/>
  <c r="E219" i="1"/>
  <c r="F219" i="1"/>
  <c r="G219" i="1"/>
  <c r="H219" i="1"/>
  <c r="I219" i="1"/>
  <c r="A220" i="1"/>
  <c r="B220" i="1"/>
  <c r="C220" i="1"/>
  <c r="D220" i="1"/>
  <c r="E220" i="1"/>
  <c r="F220" i="1"/>
  <c r="G220" i="1"/>
  <c r="H220" i="1"/>
  <c r="I220" i="1"/>
  <c r="A221" i="1"/>
  <c r="B221" i="1"/>
  <c r="C221" i="1"/>
  <c r="D221" i="1"/>
  <c r="E221" i="1"/>
  <c r="F221" i="1"/>
  <c r="G221" i="1"/>
  <c r="H221" i="1"/>
  <c r="I221" i="1"/>
  <c r="A222" i="1"/>
  <c r="B222" i="1"/>
  <c r="C222" i="1"/>
  <c r="D222" i="1"/>
  <c r="E222" i="1"/>
  <c r="F222" i="1"/>
  <c r="G222" i="1"/>
  <c r="H222" i="1"/>
  <c r="I222" i="1"/>
  <c r="A223" i="1"/>
  <c r="B223" i="1"/>
  <c r="C223" i="1"/>
  <c r="D223" i="1"/>
  <c r="E223" i="1"/>
  <c r="F223" i="1"/>
  <c r="G223" i="1"/>
  <c r="H223" i="1"/>
  <c r="I223" i="1"/>
  <c r="A224" i="1"/>
  <c r="B224" i="1"/>
  <c r="C224" i="1"/>
  <c r="D224" i="1"/>
  <c r="E224" i="1"/>
  <c r="F224" i="1"/>
  <c r="G224" i="1"/>
  <c r="H224" i="1"/>
  <c r="I224" i="1"/>
  <c r="A225" i="1"/>
  <c r="B225" i="1"/>
  <c r="C225" i="1"/>
  <c r="D225" i="1"/>
  <c r="E225" i="1"/>
  <c r="F225" i="1"/>
  <c r="G225" i="1"/>
  <c r="H225" i="1"/>
  <c r="I225" i="1"/>
  <c r="A226" i="1"/>
  <c r="B226" i="1"/>
  <c r="C226" i="1"/>
  <c r="D226" i="1"/>
  <c r="E226" i="1"/>
  <c r="F226" i="1"/>
  <c r="G226" i="1"/>
  <c r="H226" i="1"/>
  <c r="I226" i="1"/>
  <c r="A227" i="1"/>
  <c r="B227" i="1"/>
  <c r="C227" i="1"/>
  <c r="D227" i="1"/>
  <c r="E227" i="1"/>
  <c r="F227" i="1"/>
  <c r="G227" i="1"/>
  <c r="H227" i="1"/>
  <c r="I227" i="1"/>
  <c r="A228" i="1"/>
  <c r="B228" i="1"/>
  <c r="C228" i="1"/>
  <c r="D228" i="1"/>
  <c r="E228" i="1"/>
  <c r="F228" i="1"/>
  <c r="G228" i="1"/>
  <c r="H228" i="1"/>
  <c r="I228" i="1"/>
  <c r="A229" i="1"/>
  <c r="B229" i="1"/>
  <c r="C229" i="1"/>
  <c r="D229" i="1"/>
  <c r="E229" i="1"/>
  <c r="F229" i="1"/>
  <c r="G229" i="1"/>
  <c r="H229" i="1"/>
  <c r="I229" i="1"/>
  <c r="A230" i="1"/>
  <c r="B230" i="1"/>
  <c r="C230" i="1"/>
  <c r="D230" i="1"/>
  <c r="E230" i="1"/>
  <c r="F230" i="1"/>
  <c r="G230" i="1"/>
  <c r="H230" i="1"/>
  <c r="I230" i="1"/>
  <c r="A231" i="1"/>
  <c r="B231" i="1"/>
  <c r="C231" i="1"/>
  <c r="D231" i="1"/>
  <c r="E231" i="1"/>
  <c r="F231" i="1"/>
  <c r="G231" i="1"/>
  <c r="H231" i="1"/>
  <c r="I231" i="1"/>
  <c r="A232" i="1"/>
  <c r="B232" i="1"/>
  <c r="C232" i="1"/>
  <c r="D232" i="1"/>
  <c r="E232" i="1"/>
  <c r="F232" i="1"/>
  <c r="G232" i="1"/>
  <c r="H232" i="1"/>
  <c r="I232" i="1"/>
  <c r="A233" i="1"/>
  <c r="B233" i="1"/>
  <c r="C233" i="1"/>
  <c r="D233" i="1"/>
  <c r="E233" i="1"/>
  <c r="F233" i="1"/>
  <c r="G233" i="1"/>
  <c r="H233" i="1"/>
  <c r="I233" i="1"/>
  <c r="A234" i="1"/>
  <c r="B234" i="1"/>
  <c r="C234" i="1"/>
  <c r="D234" i="1"/>
  <c r="E234" i="1"/>
  <c r="F234" i="1"/>
  <c r="G234" i="1"/>
  <c r="H234" i="1"/>
  <c r="I234" i="1"/>
  <c r="A235" i="1"/>
  <c r="B235" i="1"/>
  <c r="C235" i="1"/>
  <c r="D235" i="1"/>
  <c r="E235" i="1"/>
  <c r="F235" i="1"/>
  <c r="G235" i="1"/>
  <c r="H235" i="1"/>
  <c r="I235" i="1"/>
  <c r="A236" i="1"/>
  <c r="B236" i="1"/>
  <c r="C236" i="1"/>
  <c r="D236" i="1"/>
  <c r="E236" i="1"/>
  <c r="F236" i="1"/>
  <c r="G236" i="1"/>
  <c r="H236" i="1"/>
  <c r="I236" i="1"/>
  <c r="A237" i="1"/>
  <c r="B237" i="1"/>
  <c r="C237" i="1"/>
  <c r="D237" i="1"/>
  <c r="E237" i="1"/>
  <c r="F237" i="1"/>
  <c r="G237" i="1"/>
  <c r="H237" i="1"/>
  <c r="I237" i="1"/>
  <c r="A238" i="1"/>
  <c r="B238" i="1"/>
  <c r="C238" i="1"/>
  <c r="D238" i="1"/>
  <c r="E238" i="1"/>
  <c r="F238" i="1"/>
  <c r="G238" i="1"/>
  <c r="H238" i="1"/>
  <c r="I238" i="1"/>
  <c r="A239" i="1"/>
  <c r="B239" i="1"/>
  <c r="C239" i="1"/>
  <c r="D239" i="1"/>
  <c r="E239" i="1"/>
  <c r="F239" i="1"/>
  <c r="G239" i="1"/>
  <c r="H239" i="1"/>
  <c r="I239" i="1"/>
  <c r="A240" i="1"/>
  <c r="B240" i="1"/>
  <c r="C240" i="1"/>
  <c r="D240" i="1"/>
  <c r="E240" i="1"/>
  <c r="F240" i="1"/>
  <c r="G240" i="1"/>
  <c r="H240" i="1"/>
  <c r="I240" i="1"/>
  <c r="A241" i="1"/>
  <c r="B241" i="1"/>
  <c r="C241" i="1"/>
  <c r="D241" i="1"/>
  <c r="E241" i="1"/>
  <c r="F241" i="1"/>
  <c r="G241" i="1"/>
  <c r="H241" i="1"/>
  <c r="I241" i="1"/>
  <c r="A242" i="1"/>
  <c r="B242" i="1"/>
  <c r="C242" i="1"/>
  <c r="D242" i="1"/>
  <c r="E242" i="1"/>
  <c r="F242" i="1"/>
  <c r="G242" i="1"/>
  <c r="H242" i="1"/>
  <c r="I242" i="1"/>
  <c r="A243" i="1"/>
  <c r="B243" i="1"/>
  <c r="C243" i="1"/>
  <c r="D243" i="1"/>
  <c r="E243" i="1"/>
  <c r="F243" i="1"/>
  <c r="G243" i="1"/>
  <c r="H243" i="1"/>
  <c r="I243" i="1"/>
  <c r="A244" i="1"/>
  <c r="B244" i="1"/>
  <c r="C244" i="1"/>
  <c r="D244" i="1"/>
  <c r="E244" i="1"/>
  <c r="F244" i="1"/>
  <c r="G244" i="1"/>
  <c r="H244" i="1"/>
  <c r="I244" i="1"/>
  <c r="A245" i="1"/>
  <c r="B245" i="1"/>
  <c r="C245" i="1"/>
  <c r="D245" i="1"/>
  <c r="E245" i="1"/>
  <c r="F245" i="1"/>
  <c r="G245" i="1"/>
  <c r="H245" i="1"/>
  <c r="I245" i="1"/>
  <c r="A246" i="1"/>
  <c r="B246" i="1"/>
  <c r="C246" i="1"/>
  <c r="D246" i="1"/>
  <c r="E246" i="1"/>
  <c r="F246" i="1"/>
  <c r="G246" i="1"/>
  <c r="H246" i="1"/>
  <c r="I246" i="1"/>
  <c r="A247" i="1"/>
  <c r="B247" i="1"/>
  <c r="C247" i="1"/>
  <c r="D247" i="1"/>
  <c r="E247" i="1"/>
  <c r="F247" i="1"/>
  <c r="G247" i="1"/>
  <c r="H247" i="1"/>
  <c r="I247" i="1"/>
  <c r="A248" i="1"/>
  <c r="B248" i="1"/>
  <c r="C248" i="1"/>
  <c r="D248" i="1"/>
  <c r="E248" i="1"/>
  <c r="F248" i="1"/>
  <c r="G248" i="1"/>
  <c r="H248" i="1"/>
  <c r="I248" i="1"/>
  <c r="A249" i="1"/>
  <c r="B249" i="1"/>
  <c r="C249" i="1"/>
  <c r="D249" i="1"/>
  <c r="E249" i="1"/>
  <c r="F249" i="1"/>
  <c r="G249" i="1"/>
  <c r="H249" i="1"/>
  <c r="I249" i="1"/>
  <c r="A250" i="1"/>
  <c r="B250" i="1"/>
  <c r="C250" i="1"/>
  <c r="D250" i="1"/>
  <c r="E250" i="1"/>
  <c r="F250" i="1"/>
  <c r="G250" i="1"/>
  <c r="H250" i="1"/>
  <c r="I250" i="1"/>
  <c r="A251" i="1"/>
  <c r="B251" i="1"/>
  <c r="C251" i="1"/>
  <c r="D251" i="1"/>
  <c r="E251" i="1"/>
  <c r="F251" i="1"/>
  <c r="G251" i="1"/>
  <c r="H251" i="1"/>
  <c r="I251" i="1"/>
  <c r="A252" i="1"/>
  <c r="B252" i="1"/>
  <c r="C252" i="1"/>
  <c r="D252" i="1"/>
  <c r="E252" i="1"/>
  <c r="F252" i="1"/>
  <c r="G252" i="1"/>
  <c r="H252" i="1"/>
  <c r="I252" i="1"/>
  <c r="A253" i="1"/>
  <c r="B253" i="1"/>
  <c r="C253" i="1"/>
  <c r="D253" i="1"/>
  <c r="E253" i="1"/>
  <c r="F253" i="1"/>
  <c r="G253" i="1"/>
  <c r="H253" i="1"/>
  <c r="I253" i="1"/>
  <c r="A254" i="1"/>
  <c r="B254" i="1"/>
  <c r="C254" i="1"/>
  <c r="D254" i="1"/>
  <c r="E254" i="1"/>
  <c r="F254" i="1"/>
  <c r="G254" i="1"/>
  <c r="H254" i="1"/>
  <c r="I254" i="1"/>
  <c r="A255" i="1"/>
  <c r="B255" i="1"/>
  <c r="C255" i="1"/>
  <c r="D255" i="1"/>
  <c r="E255" i="1"/>
  <c r="F255" i="1"/>
  <c r="G255" i="1"/>
  <c r="H255" i="1"/>
  <c r="I255" i="1"/>
  <c r="A256" i="1"/>
  <c r="B256" i="1"/>
  <c r="C256" i="1"/>
  <c r="D256" i="1"/>
  <c r="E256" i="1"/>
  <c r="F256" i="1"/>
  <c r="G256" i="1"/>
  <c r="H256" i="1"/>
  <c r="I256" i="1"/>
  <c r="A257" i="1"/>
  <c r="B257" i="1"/>
  <c r="C257" i="1"/>
  <c r="D257" i="1"/>
  <c r="E257" i="1"/>
  <c r="F257" i="1"/>
  <c r="G257" i="1"/>
  <c r="H257" i="1"/>
  <c r="I257" i="1"/>
  <c r="A258" i="1"/>
  <c r="B258" i="1"/>
  <c r="C258" i="1"/>
  <c r="D258" i="1"/>
  <c r="E258" i="1"/>
  <c r="F258" i="1"/>
  <c r="G258" i="1"/>
  <c r="H258" i="1"/>
  <c r="I258" i="1"/>
  <c r="A259" i="1"/>
  <c r="B259" i="1"/>
  <c r="C259" i="1"/>
  <c r="D259" i="1"/>
  <c r="E259" i="1"/>
  <c r="F259" i="1"/>
  <c r="G259" i="1"/>
  <c r="H259" i="1"/>
  <c r="I259" i="1"/>
  <c r="A260" i="1"/>
  <c r="B260" i="1"/>
  <c r="C260" i="1"/>
  <c r="D260" i="1"/>
  <c r="E260" i="1"/>
  <c r="F260" i="1"/>
  <c r="G260" i="1"/>
  <c r="H260" i="1"/>
  <c r="I260" i="1"/>
  <c r="A261" i="1"/>
  <c r="B261" i="1"/>
  <c r="C261" i="1"/>
  <c r="D261" i="1"/>
  <c r="E261" i="1"/>
  <c r="F261" i="1"/>
  <c r="G261" i="1"/>
  <c r="H261" i="1"/>
  <c r="I261" i="1"/>
  <c r="A262" i="1"/>
  <c r="B262" i="1"/>
  <c r="C262" i="1"/>
  <c r="D262" i="1"/>
  <c r="E262" i="1"/>
  <c r="F262" i="1"/>
  <c r="G262" i="1"/>
  <c r="H262" i="1"/>
  <c r="I262" i="1"/>
  <c r="A263" i="1"/>
  <c r="B263" i="1"/>
  <c r="C263" i="1"/>
  <c r="D263" i="1"/>
  <c r="E263" i="1"/>
  <c r="F263" i="1"/>
  <c r="G263" i="1"/>
  <c r="H263" i="1"/>
  <c r="I263" i="1"/>
  <c r="A264" i="1"/>
  <c r="B264" i="1"/>
  <c r="C264" i="1"/>
  <c r="D264" i="1"/>
  <c r="E264" i="1"/>
  <c r="F264" i="1"/>
  <c r="G264" i="1"/>
  <c r="H264" i="1"/>
  <c r="I264" i="1"/>
  <c r="A265" i="1"/>
  <c r="B265" i="1"/>
  <c r="C265" i="1"/>
  <c r="D265" i="1"/>
  <c r="E265" i="1"/>
  <c r="F265" i="1"/>
  <c r="G265" i="1"/>
  <c r="H265" i="1"/>
  <c r="I265" i="1"/>
  <c r="A266" i="1"/>
  <c r="B266" i="1"/>
  <c r="C266" i="1"/>
  <c r="D266" i="1"/>
  <c r="E266" i="1"/>
  <c r="F266" i="1"/>
  <c r="G266" i="1"/>
  <c r="H266" i="1"/>
  <c r="I266" i="1"/>
  <c r="A267" i="1"/>
  <c r="B267" i="1"/>
  <c r="C267" i="1"/>
  <c r="D267" i="1"/>
  <c r="E267" i="1"/>
  <c r="F267" i="1"/>
  <c r="G267" i="1"/>
  <c r="H267" i="1"/>
  <c r="I267" i="1"/>
  <c r="A268" i="1"/>
  <c r="B268" i="1"/>
  <c r="C268" i="1"/>
  <c r="D268" i="1"/>
  <c r="E268" i="1"/>
  <c r="F268" i="1"/>
  <c r="G268" i="1"/>
  <c r="H268" i="1"/>
  <c r="I268" i="1"/>
  <c r="A269" i="1"/>
  <c r="B269" i="1"/>
  <c r="C269" i="1"/>
  <c r="D269" i="1"/>
  <c r="E269" i="1"/>
  <c r="F269" i="1"/>
  <c r="G269" i="1"/>
  <c r="H269" i="1"/>
  <c r="I269" i="1"/>
  <c r="A270" i="1"/>
  <c r="B270" i="1"/>
  <c r="C270" i="1"/>
  <c r="D270" i="1"/>
  <c r="E270" i="1"/>
  <c r="F270" i="1"/>
  <c r="G270" i="1"/>
  <c r="H270" i="1"/>
  <c r="I270" i="1"/>
  <c r="A271" i="1"/>
  <c r="B271" i="1"/>
  <c r="C271" i="1"/>
  <c r="D271" i="1"/>
  <c r="E271" i="1"/>
  <c r="F271" i="1"/>
  <c r="G271" i="1"/>
  <c r="H271" i="1"/>
  <c r="I271" i="1"/>
  <c r="A272" i="1"/>
  <c r="B272" i="1"/>
  <c r="C272" i="1"/>
  <c r="D272" i="1"/>
  <c r="E272" i="1"/>
  <c r="F272" i="1"/>
  <c r="G272" i="1"/>
  <c r="H272" i="1"/>
  <c r="I272" i="1"/>
  <c r="A273" i="1"/>
  <c r="B273" i="1"/>
  <c r="C273" i="1"/>
  <c r="D273" i="1"/>
  <c r="E273" i="1"/>
  <c r="F273" i="1"/>
  <c r="G273" i="1"/>
  <c r="H273" i="1"/>
  <c r="I273" i="1"/>
  <c r="A274" i="1"/>
  <c r="B274" i="1"/>
  <c r="C274" i="1"/>
  <c r="D274" i="1"/>
  <c r="E274" i="1"/>
  <c r="F274" i="1"/>
  <c r="G274" i="1"/>
  <c r="H274" i="1"/>
  <c r="I274" i="1"/>
  <c r="A275" i="1"/>
  <c r="B275" i="1"/>
  <c r="C275" i="1"/>
  <c r="D275" i="1"/>
  <c r="E275" i="1"/>
  <c r="F275" i="1"/>
  <c r="G275" i="1"/>
  <c r="H275" i="1"/>
  <c r="I275" i="1"/>
  <c r="A276" i="1"/>
  <c r="B276" i="1"/>
  <c r="C276" i="1"/>
  <c r="D276" i="1"/>
  <c r="E276" i="1"/>
  <c r="F276" i="1"/>
  <c r="G276" i="1"/>
  <c r="H276" i="1"/>
  <c r="I276" i="1"/>
  <c r="A277" i="1"/>
  <c r="B277" i="1"/>
  <c r="C277" i="1"/>
  <c r="D277" i="1"/>
  <c r="E277" i="1"/>
  <c r="F277" i="1"/>
  <c r="G277" i="1"/>
  <c r="H277" i="1"/>
  <c r="I277" i="1"/>
  <c r="A278" i="1"/>
  <c r="B278" i="1"/>
  <c r="C278" i="1"/>
  <c r="D278" i="1"/>
  <c r="E278" i="1"/>
  <c r="F278" i="1"/>
  <c r="G278" i="1"/>
  <c r="H278" i="1"/>
  <c r="I278" i="1"/>
  <c r="A279" i="1"/>
  <c r="B279" i="1"/>
  <c r="C279" i="1"/>
  <c r="D279" i="1"/>
  <c r="E279" i="1"/>
  <c r="F279" i="1"/>
  <c r="G279" i="1"/>
  <c r="H279" i="1"/>
  <c r="I279" i="1"/>
  <c r="A280" i="1"/>
  <c r="B280" i="1"/>
  <c r="C280" i="1"/>
  <c r="D280" i="1"/>
  <c r="E280" i="1"/>
  <c r="F280" i="1"/>
  <c r="G280" i="1"/>
  <c r="H280" i="1"/>
  <c r="I280" i="1"/>
  <c r="A281" i="1"/>
  <c r="B281" i="1"/>
  <c r="C281" i="1"/>
  <c r="D281" i="1"/>
  <c r="E281" i="1"/>
  <c r="F281" i="1"/>
  <c r="G281" i="1"/>
  <c r="H281" i="1"/>
  <c r="I281" i="1"/>
  <c r="A282" i="1"/>
  <c r="B282" i="1"/>
  <c r="C282" i="1"/>
  <c r="D282" i="1"/>
  <c r="E282" i="1"/>
  <c r="F282" i="1"/>
  <c r="G282" i="1"/>
  <c r="H282" i="1"/>
  <c r="I282" i="1"/>
  <c r="A283" i="1"/>
  <c r="B283" i="1"/>
  <c r="C283" i="1"/>
  <c r="D283" i="1"/>
  <c r="E283" i="1"/>
  <c r="F283" i="1"/>
  <c r="G283" i="1"/>
  <c r="H283" i="1"/>
  <c r="I283" i="1"/>
  <c r="A284" i="1"/>
  <c r="B284" i="1"/>
  <c r="C284" i="1"/>
  <c r="D284" i="1"/>
  <c r="E284" i="1"/>
  <c r="F284" i="1"/>
  <c r="G284" i="1"/>
  <c r="H284" i="1"/>
  <c r="I284" i="1"/>
  <c r="A285" i="1"/>
  <c r="B285" i="1"/>
  <c r="C285" i="1"/>
  <c r="D285" i="1"/>
  <c r="E285" i="1"/>
  <c r="F285" i="1"/>
  <c r="G285" i="1"/>
  <c r="H285" i="1"/>
  <c r="I285" i="1"/>
  <c r="A286" i="1"/>
  <c r="B286" i="1"/>
  <c r="C286" i="1"/>
  <c r="D286" i="1"/>
  <c r="E286" i="1"/>
  <c r="F286" i="1"/>
  <c r="G286" i="1"/>
  <c r="H286" i="1"/>
  <c r="I286" i="1"/>
  <c r="A287" i="1"/>
  <c r="B287" i="1"/>
  <c r="C287" i="1"/>
  <c r="D287" i="1"/>
  <c r="E287" i="1"/>
  <c r="F287" i="1"/>
  <c r="G287" i="1"/>
  <c r="H287" i="1"/>
  <c r="I287" i="1"/>
  <c r="A288" i="1"/>
  <c r="B288" i="1"/>
  <c r="C288" i="1"/>
  <c r="D288" i="1"/>
  <c r="E288" i="1"/>
  <c r="F288" i="1"/>
  <c r="G288" i="1"/>
  <c r="H288" i="1"/>
  <c r="I288" i="1"/>
  <c r="A289" i="1"/>
  <c r="B289" i="1"/>
  <c r="C289" i="1"/>
  <c r="D289" i="1"/>
  <c r="E289" i="1"/>
  <c r="F289" i="1"/>
  <c r="G289" i="1"/>
  <c r="H289" i="1"/>
  <c r="I289" i="1"/>
  <c r="A290" i="1"/>
  <c r="B290" i="1"/>
  <c r="C290" i="1"/>
  <c r="D290" i="1"/>
  <c r="E290" i="1"/>
  <c r="F290" i="1"/>
  <c r="G290" i="1"/>
  <c r="H290" i="1"/>
  <c r="I290" i="1"/>
  <c r="A291" i="1"/>
  <c r="B291" i="1"/>
  <c r="C291" i="1"/>
  <c r="D291" i="1"/>
  <c r="E291" i="1"/>
  <c r="F291" i="1"/>
  <c r="G291" i="1"/>
  <c r="H291" i="1"/>
  <c r="I291" i="1"/>
  <c r="A292" i="1"/>
  <c r="B292" i="1"/>
  <c r="C292" i="1"/>
  <c r="D292" i="1"/>
  <c r="E292" i="1"/>
  <c r="F292" i="1"/>
  <c r="G292" i="1"/>
  <c r="H292" i="1"/>
  <c r="I292" i="1"/>
  <c r="A293" i="1"/>
  <c r="B293" i="1"/>
  <c r="C293" i="1"/>
  <c r="D293" i="1"/>
  <c r="E293" i="1"/>
  <c r="F293" i="1"/>
  <c r="G293" i="1"/>
  <c r="H293" i="1"/>
  <c r="I293" i="1"/>
  <c r="A294" i="1"/>
  <c r="B294" i="1"/>
  <c r="C294" i="1"/>
  <c r="D294" i="1"/>
  <c r="E294" i="1"/>
  <c r="F294" i="1"/>
  <c r="G294" i="1"/>
  <c r="H294" i="1"/>
  <c r="I294" i="1"/>
  <c r="A295" i="1"/>
  <c r="B295" i="1"/>
  <c r="C295" i="1"/>
  <c r="D295" i="1"/>
  <c r="E295" i="1"/>
  <c r="F295" i="1"/>
  <c r="G295" i="1"/>
  <c r="H295" i="1"/>
  <c r="I295" i="1"/>
  <c r="A296" i="1"/>
  <c r="B296" i="1"/>
  <c r="C296" i="1"/>
  <c r="D296" i="1"/>
  <c r="E296" i="1"/>
  <c r="F296" i="1"/>
  <c r="G296" i="1"/>
  <c r="H296" i="1"/>
  <c r="I296" i="1"/>
  <c r="A297" i="1"/>
  <c r="B297" i="1"/>
  <c r="C297" i="1"/>
  <c r="D297" i="1"/>
  <c r="E297" i="1"/>
  <c r="F297" i="1"/>
  <c r="G297" i="1"/>
  <c r="H297" i="1"/>
  <c r="I297" i="1"/>
  <c r="A298" i="1"/>
  <c r="B298" i="1"/>
  <c r="C298" i="1"/>
  <c r="D298" i="1"/>
  <c r="E298" i="1"/>
  <c r="F298" i="1"/>
  <c r="G298" i="1"/>
  <c r="H298" i="1"/>
  <c r="I298" i="1"/>
  <c r="A299" i="1"/>
  <c r="B299" i="1"/>
  <c r="C299" i="1"/>
  <c r="D299" i="1"/>
  <c r="E299" i="1"/>
  <c r="F299" i="1"/>
  <c r="G299" i="1"/>
  <c r="H299" i="1"/>
  <c r="I299" i="1"/>
  <c r="A300" i="1"/>
  <c r="B300" i="1"/>
  <c r="C300" i="1"/>
  <c r="D300" i="1"/>
  <c r="E300" i="1"/>
  <c r="F300" i="1"/>
  <c r="G300" i="1"/>
  <c r="H300" i="1"/>
  <c r="I300" i="1"/>
  <c r="A301" i="1"/>
  <c r="B301" i="1"/>
  <c r="C301" i="1"/>
  <c r="D301" i="1"/>
  <c r="E301" i="1"/>
  <c r="F301" i="1"/>
  <c r="G301" i="1"/>
  <c r="H301" i="1"/>
  <c r="I301" i="1"/>
  <c r="A302" i="1"/>
  <c r="B302" i="1"/>
  <c r="C302" i="1"/>
  <c r="D302" i="1"/>
  <c r="E302" i="1"/>
  <c r="F302" i="1"/>
  <c r="G302" i="1"/>
  <c r="H302" i="1"/>
  <c r="I302" i="1"/>
  <c r="A303" i="1"/>
  <c r="B303" i="1"/>
  <c r="C303" i="1"/>
  <c r="D303" i="1"/>
  <c r="E303" i="1"/>
  <c r="F303" i="1"/>
  <c r="G303" i="1"/>
  <c r="H303" i="1"/>
  <c r="I303" i="1"/>
  <c r="A304" i="1"/>
  <c r="B304" i="1"/>
  <c r="C304" i="1"/>
  <c r="D304" i="1"/>
  <c r="E304" i="1"/>
  <c r="F304" i="1"/>
  <c r="G304" i="1"/>
  <c r="H304" i="1"/>
  <c r="I304" i="1"/>
  <c r="A305" i="1"/>
  <c r="B305" i="1"/>
  <c r="C305" i="1"/>
  <c r="D305" i="1"/>
  <c r="E305" i="1"/>
  <c r="F305" i="1"/>
  <c r="G305" i="1"/>
  <c r="H305" i="1"/>
  <c r="I305" i="1"/>
  <c r="A306" i="1"/>
  <c r="B306" i="1"/>
  <c r="C306" i="1"/>
  <c r="D306" i="1"/>
  <c r="E306" i="1"/>
  <c r="F306" i="1"/>
  <c r="G306" i="1"/>
  <c r="H306" i="1"/>
  <c r="I306" i="1"/>
  <c r="A307" i="1"/>
  <c r="B307" i="1"/>
  <c r="C307" i="1"/>
  <c r="D307" i="1"/>
  <c r="E307" i="1"/>
  <c r="F307" i="1"/>
  <c r="G307" i="1"/>
  <c r="H307" i="1"/>
  <c r="I307" i="1"/>
  <c r="A308" i="1"/>
  <c r="B308" i="1"/>
  <c r="C308" i="1"/>
  <c r="D308" i="1"/>
  <c r="E308" i="1"/>
  <c r="F308" i="1"/>
  <c r="G308" i="1"/>
  <c r="H308" i="1"/>
  <c r="I308" i="1"/>
  <c r="A309" i="1"/>
  <c r="B309" i="1"/>
  <c r="C309" i="1"/>
  <c r="D309" i="1"/>
  <c r="E309" i="1"/>
  <c r="F309" i="1"/>
  <c r="G309" i="1"/>
  <c r="H309" i="1"/>
  <c r="I309" i="1"/>
  <c r="A310" i="1"/>
  <c r="B310" i="1"/>
  <c r="C310" i="1"/>
  <c r="D310" i="1"/>
  <c r="E310" i="1"/>
  <c r="F310" i="1"/>
  <c r="G310" i="1"/>
  <c r="H310" i="1"/>
  <c r="I310" i="1"/>
  <c r="A311" i="1"/>
  <c r="B311" i="1"/>
  <c r="C311" i="1"/>
  <c r="D311" i="1"/>
  <c r="E311" i="1"/>
  <c r="F311" i="1"/>
  <c r="G311" i="1"/>
  <c r="H311" i="1"/>
  <c r="I311" i="1"/>
  <c r="A312" i="1"/>
  <c r="B312" i="1"/>
  <c r="C312" i="1"/>
  <c r="D312" i="1"/>
  <c r="E312" i="1"/>
  <c r="F312" i="1"/>
  <c r="G312" i="1"/>
  <c r="H312" i="1"/>
  <c r="I312" i="1"/>
  <c r="A313" i="1"/>
  <c r="B313" i="1"/>
  <c r="C313" i="1"/>
  <c r="D313" i="1"/>
  <c r="E313" i="1"/>
  <c r="F313" i="1"/>
  <c r="G313" i="1"/>
  <c r="H313" i="1"/>
  <c r="I313" i="1"/>
  <c r="A314" i="1"/>
  <c r="B314" i="1"/>
  <c r="C314" i="1"/>
  <c r="D314" i="1"/>
  <c r="E314" i="1"/>
  <c r="F314" i="1"/>
  <c r="G314" i="1"/>
  <c r="H314" i="1"/>
  <c r="I314" i="1"/>
  <c r="A315" i="1"/>
  <c r="B315" i="1"/>
  <c r="C315" i="1"/>
  <c r="D315" i="1"/>
  <c r="E315" i="1"/>
  <c r="F315" i="1"/>
  <c r="G315" i="1"/>
  <c r="H315" i="1"/>
  <c r="I315" i="1"/>
  <c r="A316" i="1"/>
  <c r="B316" i="1"/>
  <c r="C316" i="1"/>
  <c r="D316" i="1"/>
  <c r="E316" i="1"/>
  <c r="F316" i="1"/>
  <c r="G316" i="1"/>
  <c r="H316" i="1"/>
  <c r="I316" i="1"/>
  <c r="A317" i="1"/>
  <c r="B317" i="1"/>
  <c r="C317" i="1"/>
  <c r="D317" i="1"/>
  <c r="E317" i="1"/>
  <c r="F317" i="1"/>
  <c r="G317" i="1"/>
  <c r="H317" i="1"/>
  <c r="I317" i="1"/>
  <c r="A318" i="1"/>
  <c r="B318" i="1"/>
  <c r="C318" i="1"/>
  <c r="D318" i="1"/>
  <c r="E318" i="1"/>
  <c r="F318" i="1"/>
  <c r="G318" i="1"/>
  <c r="H318" i="1"/>
  <c r="I318" i="1"/>
  <c r="A319" i="1"/>
  <c r="B319" i="1"/>
  <c r="C319" i="1"/>
  <c r="D319" i="1"/>
  <c r="E319" i="1"/>
  <c r="F319" i="1"/>
  <c r="G319" i="1"/>
  <c r="H319" i="1"/>
  <c r="I319" i="1"/>
  <c r="A320" i="1"/>
  <c r="B320" i="1"/>
  <c r="C320" i="1"/>
  <c r="D320" i="1"/>
  <c r="E320" i="1"/>
  <c r="F320" i="1"/>
  <c r="G320" i="1"/>
  <c r="H320" i="1"/>
  <c r="I320" i="1"/>
  <c r="A321" i="1"/>
  <c r="B321" i="1"/>
  <c r="C321" i="1"/>
  <c r="D321" i="1"/>
  <c r="E321" i="1"/>
  <c r="F321" i="1"/>
  <c r="G321" i="1"/>
  <c r="H321" i="1"/>
  <c r="I321" i="1"/>
  <c r="A322" i="1"/>
  <c r="B322" i="1"/>
  <c r="C322" i="1"/>
  <c r="D322" i="1"/>
  <c r="E322" i="1"/>
  <c r="F322" i="1"/>
  <c r="G322" i="1"/>
  <c r="H322" i="1"/>
  <c r="I322" i="1"/>
  <c r="A323" i="1"/>
  <c r="B323" i="1"/>
  <c r="C323" i="1"/>
  <c r="D323" i="1"/>
  <c r="E323" i="1"/>
  <c r="F323" i="1"/>
  <c r="G323" i="1"/>
  <c r="H323" i="1"/>
  <c r="I323" i="1"/>
  <c r="A324" i="1"/>
  <c r="B324" i="1"/>
  <c r="C324" i="1"/>
  <c r="D324" i="1"/>
  <c r="E324" i="1"/>
  <c r="F324" i="1"/>
  <c r="G324" i="1"/>
  <c r="H324" i="1"/>
  <c r="I324" i="1"/>
  <c r="A325" i="1"/>
  <c r="B325" i="1"/>
  <c r="C325" i="1"/>
  <c r="D325" i="1"/>
  <c r="E325" i="1"/>
  <c r="F325" i="1"/>
  <c r="G325" i="1"/>
  <c r="H325" i="1"/>
  <c r="I325" i="1"/>
  <c r="A326" i="1"/>
  <c r="B326" i="1"/>
  <c r="C326" i="1"/>
  <c r="D326" i="1"/>
  <c r="E326" i="1"/>
  <c r="F326" i="1"/>
  <c r="G326" i="1"/>
  <c r="H326" i="1"/>
  <c r="I326" i="1"/>
  <c r="A327" i="1"/>
  <c r="B327" i="1"/>
  <c r="C327" i="1"/>
  <c r="D327" i="1"/>
  <c r="E327" i="1"/>
  <c r="F327" i="1"/>
  <c r="G327" i="1"/>
  <c r="H327" i="1"/>
  <c r="I327" i="1"/>
  <c r="A328" i="1"/>
  <c r="B328" i="1"/>
  <c r="C328" i="1"/>
  <c r="D328" i="1"/>
  <c r="E328" i="1"/>
  <c r="F328" i="1"/>
  <c r="G328" i="1"/>
  <c r="H328" i="1"/>
  <c r="I328" i="1"/>
  <c r="A329" i="1"/>
  <c r="B329" i="1"/>
  <c r="C329" i="1"/>
  <c r="D329" i="1"/>
  <c r="E329" i="1"/>
  <c r="F329" i="1"/>
  <c r="G329" i="1"/>
  <c r="H329" i="1"/>
  <c r="I329" i="1"/>
  <c r="A330" i="1"/>
  <c r="B330" i="1"/>
  <c r="C330" i="1"/>
  <c r="D330" i="1"/>
  <c r="E330" i="1"/>
  <c r="F330" i="1"/>
  <c r="G330" i="1"/>
  <c r="H330" i="1"/>
  <c r="I330" i="1"/>
  <c r="A331" i="1"/>
  <c r="B331" i="1"/>
  <c r="C331" i="1"/>
  <c r="D331" i="1"/>
  <c r="E331" i="1"/>
  <c r="F331" i="1"/>
  <c r="G331" i="1"/>
  <c r="H331" i="1"/>
  <c r="I331" i="1"/>
  <c r="A332" i="1"/>
  <c r="B332" i="1"/>
  <c r="C332" i="1"/>
  <c r="D332" i="1"/>
  <c r="E332" i="1"/>
  <c r="F332" i="1"/>
  <c r="G332" i="1"/>
  <c r="H332" i="1"/>
  <c r="I332" i="1"/>
  <c r="A333" i="1"/>
  <c r="B333" i="1"/>
  <c r="C333" i="1"/>
  <c r="D333" i="1"/>
  <c r="E333" i="1"/>
  <c r="F333" i="1"/>
  <c r="G333" i="1"/>
  <c r="H333" i="1"/>
  <c r="I333" i="1"/>
  <c r="A334" i="1"/>
  <c r="B334" i="1"/>
  <c r="C334" i="1"/>
  <c r="D334" i="1"/>
  <c r="E334" i="1"/>
  <c r="F334" i="1"/>
  <c r="G334" i="1"/>
  <c r="H334" i="1"/>
  <c r="I334" i="1"/>
  <c r="A335" i="1"/>
  <c r="B335" i="1"/>
  <c r="C335" i="1"/>
  <c r="D335" i="1"/>
  <c r="E335" i="1"/>
  <c r="F335" i="1"/>
  <c r="G335" i="1"/>
  <c r="H335" i="1"/>
  <c r="I335" i="1"/>
  <c r="A336" i="1"/>
  <c r="B336" i="1"/>
  <c r="C336" i="1"/>
  <c r="D336" i="1"/>
  <c r="E336" i="1"/>
  <c r="F336" i="1"/>
  <c r="G336" i="1"/>
  <c r="H336" i="1"/>
  <c r="I336" i="1"/>
  <c r="A337" i="1"/>
  <c r="B337" i="1"/>
  <c r="C337" i="1"/>
  <c r="D337" i="1"/>
  <c r="E337" i="1"/>
  <c r="F337" i="1"/>
  <c r="G337" i="1"/>
  <c r="H337" i="1"/>
  <c r="I337" i="1"/>
  <c r="A338" i="1"/>
  <c r="B338" i="1"/>
  <c r="C338" i="1"/>
  <c r="D338" i="1"/>
  <c r="E338" i="1"/>
  <c r="F338" i="1"/>
  <c r="G338" i="1"/>
  <c r="H338" i="1"/>
  <c r="I338" i="1"/>
  <c r="A339" i="1"/>
  <c r="B339" i="1"/>
  <c r="C339" i="1"/>
  <c r="D339" i="1"/>
  <c r="E339" i="1"/>
  <c r="F339" i="1"/>
  <c r="G339" i="1"/>
  <c r="H339" i="1"/>
  <c r="I339" i="1"/>
  <c r="A340" i="1"/>
  <c r="B340" i="1"/>
  <c r="C340" i="1"/>
  <c r="D340" i="1"/>
  <c r="E340" i="1"/>
  <c r="F340" i="1"/>
  <c r="G340" i="1"/>
  <c r="H340" i="1"/>
  <c r="I340" i="1"/>
  <c r="A341" i="1"/>
  <c r="B341" i="1"/>
  <c r="C341" i="1"/>
  <c r="D341" i="1"/>
  <c r="E341" i="1"/>
  <c r="F341" i="1"/>
  <c r="G341" i="1"/>
  <c r="H341" i="1"/>
  <c r="I341" i="1"/>
  <c r="A342" i="1"/>
  <c r="B342" i="1"/>
  <c r="C342" i="1"/>
  <c r="D342" i="1"/>
  <c r="E342" i="1"/>
  <c r="F342" i="1"/>
  <c r="G342" i="1"/>
  <c r="H342" i="1"/>
  <c r="I342" i="1"/>
  <c r="A343" i="1"/>
  <c r="B343" i="1"/>
  <c r="C343" i="1"/>
  <c r="D343" i="1"/>
  <c r="E343" i="1"/>
  <c r="F343" i="1"/>
  <c r="G343" i="1"/>
  <c r="H343" i="1"/>
  <c r="I343" i="1"/>
  <c r="A344" i="1"/>
  <c r="B344" i="1"/>
  <c r="C344" i="1"/>
  <c r="D344" i="1"/>
  <c r="E344" i="1"/>
  <c r="F344" i="1"/>
  <c r="G344" i="1"/>
  <c r="H344" i="1"/>
  <c r="I344" i="1"/>
  <c r="A345" i="1"/>
  <c r="B345" i="1"/>
  <c r="C345" i="1"/>
  <c r="D345" i="1"/>
  <c r="E345" i="1"/>
  <c r="F345" i="1"/>
  <c r="G345" i="1"/>
  <c r="H345" i="1"/>
  <c r="I345" i="1"/>
  <c r="A346" i="1"/>
  <c r="B346" i="1"/>
  <c r="C346" i="1"/>
  <c r="D346" i="1"/>
  <c r="E346" i="1"/>
  <c r="F346" i="1"/>
  <c r="G346" i="1"/>
  <c r="H346" i="1"/>
  <c r="I346" i="1"/>
  <c r="A347" i="1"/>
  <c r="B347" i="1"/>
  <c r="C347" i="1"/>
  <c r="D347" i="1"/>
  <c r="E347" i="1"/>
  <c r="F347" i="1"/>
  <c r="G347" i="1"/>
  <c r="H347" i="1"/>
  <c r="I347" i="1"/>
  <c r="A348" i="1"/>
  <c r="B348" i="1"/>
  <c r="C348" i="1"/>
  <c r="D348" i="1"/>
  <c r="E348" i="1"/>
  <c r="F348" i="1"/>
  <c r="G348" i="1"/>
  <c r="H348" i="1"/>
  <c r="I348" i="1"/>
  <c r="A349" i="1"/>
  <c r="B349" i="1"/>
  <c r="C349" i="1"/>
  <c r="D349" i="1"/>
  <c r="E349" i="1"/>
  <c r="F349" i="1"/>
  <c r="G349" i="1"/>
  <c r="H349" i="1"/>
  <c r="I349" i="1"/>
  <c r="A350" i="1"/>
  <c r="B350" i="1"/>
  <c r="C350" i="1"/>
  <c r="D350" i="1"/>
  <c r="E350" i="1"/>
  <c r="F350" i="1"/>
  <c r="G350" i="1"/>
  <c r="H350" i="1"/>
  <c r="I350" i="1"/>
  <c r="A351" i="1"/>
  <c r="B351" i="1"/>
  <c r="C351" i="1"/>
  <c r="D351" i="1"/>
  <c r="E351" i="1"/>
  <c r="F351" i="1"/>
  <c r="G351" i="1"/>
  <c r="H351" i="1"/>
  <c r="I351" i="1"/>
  <c r="A352" i="1"/>
  <c r="B352" i="1"/>
  <c r="C352" i="1"/>
  <c r="D352" i="1"/>
  <c r="E352" i="1"/>
  <c r="F352" i="1"/>
  <c r="G352" i="1"/>
  <c r="H352" i="1"/>
  <c r="I352" i="1"/>
  <c r="A353" i="1"/>
  <c r="B353" i="1"/>
  <c r="C353" i="1"/>
  <c r="D353" i="1"/>
  <c r="E353" i="1"/>
  <c r="F353" i="1"/>
  <c r="G353" i="1"/>
  <c r="H353" i="1"/>
  <c r="I353" i="1"/>
  <c r="A354" i="1"/>
  <c r="B354" i="1"/>
  <c r="C354" i="1"/>
  <c r="D354" i="1"/>
  <c r="E354" i="1"/>
  <c r="F354" i="1"/>
  <c r="G354" i="1"/>
  <c r="H354" i="1"/>
  <c r="I354" i="1"/>
  <c r="A355" i="1"/>
  <c r="B355" i="1"/>
  <c r="C355" i="1"/>
  <c r="D355" i="1"/>
  <c r="E355" i="1"/>
  <c r="F355" i="1"/>
  <c r="G355" i="1"/>
  <c r="H355" i="1"/>
  <c r="I355" i="1"/>
  <c r="A356" i="1"/>
  <c r="B356" i="1"/>
  <c r="C356" i="1"/>
  <c r="D356" i="1"/>
  <c r="E356" i="1"/>
  <c r="F356" i="1"/>
  <c r="G356" i="1"/>
  <c r="H356" i="1"/>
  <c r="I356" i="1"/>
  <c r="A357" i="1"/>
  <c r="B357" i="1"/>
  <c r="C357" i="1"/>
  <c r="D357" i="1"/>
  <c r="E357" i="1"/>
  <c r="F357" i="1"/>
  <c r="G357" i="1"/>
  <c r="H357" i="1"/>
  <c r="I357" i="1"/>
  <c r="A358" i="1"/>
  <c r="B358" i="1"/>
  <c r="C358" i="1"/>
  <c r="D358" i="1"/>
  <c r="E358" i="1"/>
  <c r="F358" i="1"/>
  <c r="G358" i="1"/>
  <c r="H358" i="1"/>
  <c r="I358" i="1"/>
  <c r="A359" i="1"/>
  <c r="B359" i="1"/>
  <c r="C359" i="1"/>
  <c r="D359" i="1"/>
  <c r="E359" i="1"/>
  <c r="F359" i="1"/>
  <c r="G359" i="1"/>
  <c r="H359" i="1"/>
  <c r="I359" i="1"/>
  <c r="A360" i="1"/>
  <c r="B360" i="1"/>
  <c r="C360" i="1"/>
  <c r="D360" i="1"/>
  <c r="E360" i="1"/>
  <c r="F360" i="1"/>
  <c r="G360" i="1"/>
  <c r="H360" i="1"/>
  <c r="I360" i="1"/>
  <c r="A361" i="1"/>
  <c r="B361" i="1"/>
  <c r="C361" i="1"/>
  <c r="D361" i="1"/>
  <c r="E361" i="1"/>
  <c r="F361" i="1"/>
  <c r="G361" i="1"/>
  <c r="H361" i="1"/>
  <c r="I361" i="1"/>
  <c r="A362" i="1"/>
  <c r="B362" i="1"/>
  <c r="C362" i="1"/>
  <c r="D362" i="1"/>
  <c r="E362" i="1"/>
  <c r="F362" i="1"/>
  <c r="G362" i="1"/>
  <c r="H362" i="1"/>
  <c r="I362" i="1"/>
  <c r="A363" i="1"/>
  <c r="B363" i="1"/>
  <c r="C363" i="1"/>
  <c r="D363" i="1"/>
  <c r="E363" i="1"/>
  <c r="F363" i="1"/>
  <c r="G363" i="1"/>
  <c r="H363" i="1"/>
  <c r="I363" i="1"/>
  <c r="A364" i="1"/>
  <c r="B364" i="1"/>
  <c r="C364" i="1"/>
  <c r="D364" i="1"/>
  <c r="E364" i="1"/>
  <c r="F364" i="1"/>
  <c r="G364" i="1"/>
  <c r="H364" i="1"/>
  <c r="I364" i="1"/>
  <c r="A365" i="1"/>
  <c r="B365" i="1"/>
  <c r="C365" i="1"/>
  <c r="D365" i="1"/>
  <c r="E365" i="1"/>
  <c r="F365" i="1"/>
  <c r="G365" i="1"/>
  <c r="H365" i="1"/>
  <c r="I365" i="1"/>
  <c r="A366" i="1"/>
  <c r="B366" i="1"/>
  <c r="C366" i="1"/>
  <c r="D366" i="1"/>
  <c r="E366" i="1"/>
  <c r="F366" i="1"/>
  <c r="G366" i="1"/>
  <c r="H366" i="1"/>
  <c r="I366" i="1"/>
  <c r="A367" i="1"/>
  <c r="B367" i="1"/>
  <c r="C367" i="1"/>
  <c r="D367" i="1"/>
  <c r="E367" i="1"/>
  <c r="F367" i="1"/>
  <c r="G367" i="1"/>
  <c r="H367" i="1"/>
  <c r="I367" i="1"/>
  <c r="A368" i="1"/>
  <c r="B368" i="1"/>
  <c r="C368" i="1"/>
  <c r="D368" i="1"/>
  <c r="E368" i="1"/>
  <c r="F368" i="1"/>
  <c r="G368" i="1"/>
  <c r="H368" i="1"/>
  <c r="I368" i="1"/>
  <c r="A369" i="1"/>
  <c r="B369" i="1"/>
  <c r="C369" i="1"/>
  <c r="D369" i="1"/>
  <c r="E369" i="1"/>
  <c r="F369" i="1"/>
  <c r="G369" i="1"/>
  <c r="H369" i="1"/>
  <c r="I369" i="1"/>
  <c r="A370" i="1"/>
  <c r="B370" i="1"/>
  <c r="C370" i="1"/>
  <c r="D370" i="1"/>
  <c r="E370" i="1"/>
  <c r="F370" i="1"/>
  <c r="G370" i="1"/>
  <c r="H370" i="1"/>
  <c r="I370" i="1"/>
  <c r="A371" i="1"/>
  <c r="B371" i="1"/>
  <c r="C371" i="1"/>
  <c r="D371" i="1"/>
  <c r="E371" i="1"/>
  <c r="F371" i="1"/>
  <c r="G371" i="1"/>
  <c r="H371" i="1"/>
  <c r="I371" i="1"/>
  <c r="A372" i="1"/>
  <c r="B372" i="1"/>
  <c r="C372" i="1"/>
  <c r="D372" i="1"/>
  <c r="E372" i="1"/>
  <c r="F372" i="1"/>
  <c r="G372" i="1"/>
  <c r="H372" i="1"/>
  <c r="I372" i="1"/>
  <c r="A373" i="1"/>
  <c r="B373" i="1"/>
  <c r="C373" i="1"/>
  <c r="D373" i="1"/>
  <c r="E373" i="1"/>
  <c r="F373" i="1"/>
  <c r="G373" i="1"/>
  <c r="H373" i="1"/>
  <c r="I373" i="1"/>
  <c r="A374" i="1"/>
  <c r="B374" i="1"/>
  <c r="C374" i="1"/>
  <c r="D374" i="1"/>
  <c r="E374" i="1"/>
  <c r="F374" i="1"/>
  <c r="G374" i="1"/>
  <c r="H374" i="1"/>
  <c r="I374" i="1"/>
  <c r="A375" i="1"/>
  <c r="B375" i="1"/>
  <c r="C375" i="1"/>
  <c r="D375" i="1"/>
  <c r="E375" i="1"/>
  <c r="F375" i="1"/>
  <c r="G375" i="1"/>
  <c r="H375" i="1"/>
  <c r="I375" i="1"/>
  <c r="A376" i="1"/>
  <c r="B376" i="1"/>
  <c r="C376" i="1"/>
  <c r="D376" i="1"/>
  <c r="E376" i="1"/>
  <c r="F376" i="1"/>
  <c r="G376" i="1"/>
  <c r="H376" i="1"/>
  <c r="I376" i="1"/>
  <c r="A377" i="1"/>
  <c r="B377" i="1"/>
  <c r="C377" i="1"/>
  <c r="D377" i="1"/>
  <c r="E377" i="1"/>
  <c r="F377" i="1"/>
  <c r="G377" i="1"/>
  <c r="H377" i="1"/>
  <c r="I377" i="1"/>
  <c r="A378" i="1"/>
  <c r="B378" i="1"/>
  <c r="C378" i="1"/>
  <c r="D378" i="1"/>
  <c r="E378" i="1"/>
  <c r="F378" i="1"/>
  <c r="G378" i="1"/>
  <c r="H378" i="1"/>
  <c r="I378" i="1"/>
  <c r="A379" i="1"/>
  <c r="B379" i="1"/>
  <c r="C379" i="1"/>
  <c r="D379" i="1"/>
  <c r="E379" i="1"/>
  <c r="F379" i="1"/>
  <c r="G379" i="1"/>
  <c r="H379" i="1"/>
  <c r="I379" i="1"/>
  <c r="A380" i="1"/>
  <c r="B380" i="1"/>
  <c r="C380" i="1"/>
  <c r="D380" i="1"/>
  <c r="E380" i="1"/>
  <c r="F380" i="1"/>
  <c r="G380" i="1"/>
  <c r="H380" i="1"/>
  <c r="I380" i="1"/>
  <c r="A381" i="1"/>
  <c r="B381" i="1"/>
  <c r="C381" i="1"/>
  <c r="D381" i="1"/>
  <c r="E381" i="1"/>
  <c r="F381" i="1"/>
  <c r="G381" i="1"/>
  <c r="H381" i="1"/>
  <c r="I381" i="1"/>
  <c r="A382" i="1"/>
  <c r="B382" i="1"/>
  <c r="C382" i="1"/>
  <c r="D382" i="1"/>
  <c r="E382" i="1"/>
  <c r="F382" i="1"/>
  <c r="G382" i="1"/>
  <c r="H382" i="1"/>
  <c r="I382" i="1"/>
  <c r="A383" i="1"/>
  <c r="B383" i="1"/>
  <c r="C383" i="1"/>
  <c r="D383" i="1"/>
  <c r="E383" i="1"/>
  <c r="F383" i="1"/>
  <c r="G383" i="1"/>
  <c r="H383" i="1"/>
  <c r="I383" i="1"/>
  <c r="A384" i="1"/>
  <c r="B384" i="1"/>
  <c r="C384" i="1"/>
  <c r="D384" i="1"/>
  <c r="E384" i="1"/>
  <c r="F384" i="1"/>
  <c r="G384" i="1"/>
  <c r="H384" i="1"/>
  <c r="I384" i="1"/>
  <c r="A385" i="1"/>
  <c r="B385" i="1"/>
  <c r="C385" i="1"/>
  <c r="D385" i="1"/>
  <c r="E385" i="1"/>
  <c r="F385" i="1"/>
  <c r="G385" i="1"/>
  <c r="H385" i="1"/>
  <c r="I385" i="1"/>
  <c r="A386" i="1"/>
  <c r="B386" i="1"/>
  <c r="C386" i="1"/>
  <c r="D386" i="1"/>
  <c r="E386" i="1"/>
  <c r="F386" i="1"/>
  <c r="G386" i="1"/>
  <c r="H386" i="1"/>
  <c r="I386" i="1"/>
  <c r="A387" i="1"/>
  <c r="B387" i="1"/>
  <c r="C387" i="1"/>
  <c r="D387" i="1"/>
  <c r="E387" i="1"/>
  <c r="F387" i="1"/>
  <c r="G387" i="1"/>
  <c r="H387" i="1"/>
  <c r="I387" i="1"/>
  <c r="A388" i="1"/>
  <c r="B388" i="1"/>
  <c r="C388" i="1"/>
  <c r="D388" i="1"/>
  <c r="E388" i="1"/>
  <c r="F388" i="1"/>
  <c r="G388" i="1"/>
  <c r="H388" i="1"/>
  <c r="I388" i="1"/>
  <c r="A389" i="1"/>
  <c r="B389" i="1"/>
  <c r="C389" i="1"/>
  <c r="D389" i="1"/>
  <c r="E389" i="1"/>
  <c r="F389" i="1"/>
  <c r="G389" i="1"/>
  <c r="H389" i="1"/>
  <c r="I389" i="1"/>
  <c r="A390" i="1"/>
  <c r="B390" i="1"/>
  <c r="C390" i="1"/>
  <c r="D390" i="1"/>
  <c r="E390" i="1"/>
  <c r="F390" i="1"/>
  <c r="G390" i="1"/>
  <c r="H390" i="1"/>
  <c r="I390" i="1"/>
  <c r="A391" i="1"/>
  <c r="B391" i="1"/>
  <c r="C391" i="1"/>
  <c r="D391" i="1"/>
  <c r="E391" i="1"/>
  <c r="F391" i="1"/>
  <c r="G391" i="1"/>
  <c r="H391" i="1"/>
  <c r="I391" i="1"/>
  <c r="A392" i="1"/>
  <c r="B392" i="1"/>
  <c r="C392" i="1"/>
  <c r="D392" i="1"/>
  <c r="E392" i="1"/>
  <c r="F392" i="1"/>
  <c r="G392" i="1"/>
  <c r="H392" i="1"/>
  <c r="I392" i="1"/>
  <c r="A393" i="1"/>
  <c r="B393" i="1"/>
  <c r="C393" i="1"/>
  <c r="D393" i="1"/>
  <c r="E393" i="1"/>
  <c r="F393" i="1"/>
  <c r="G393" i="1"/>
  <c r="H393" i="1"/>
  <c r="I393" i="1"/>
  <c r="A394" i="1"/>
  <c r="B394" i="1"/>
  <c r="C394" i="1"/>
  <c r="D394" i="1"/>
  <c r="E394" i="1"/>
  <c r="F394" i="1"/>
  <c r="G394" i="1"/>
  <c r="H394" i="1"/>
  <c r="I394" i="1"/>
  <c r="A395" i="1"/>
  <c r="B395" i="1"/>
  <c r="C395" i="1"/>
  <c r="D395" i="1"/>
  <c r="E395" i="1"/>
  <c r="F395" i="1"/>
  <c r="G395" i="1"/>
  <c r="H395" i="1"/>
  <c r="I395" i="1"/>
  <c r="A396" i="1"/>
  <c r="B396" i="1"/>
  <c r="C396" i="1"/>
  <c r="D396" i="1"/>
  <c r="E396" i="1"/>
  <c r="F396" i="1"/>
  <c r="G396" i="1"/>
  <c r="H396" i="1"/>
  <c r="I396" i="1"/>
  <c r="A397" i="1"/>
  <c r="B397" i="1"/>
  <c r="C397" i="1"/>
  <c r="D397" i="1"/>
  <c r="E397" i="1"/>
  <c r="F397" i="1"/>
  <c r="G397" i="1"/>
  <c r="H397" i="1"/>
  <c r="I397" i="1"/>
  <c r="A398" i="1"/>
  <c r="B398" i="1"/>
  <c r="C398" i="1"/>
  <c r="D398" i="1"/>
  <c r="E398" i="1"/>
  <c r="F398" i="1"/>
  <c r="G398" i="1"/>
  <c r="H398" i="1"/>
  <c r="I398" i="1"/>
  <c r="A399" i="1"/>
  <c r="B399" i="1"/>
  <c r="C399" i="1"/>
  <c r="D399" i="1"/>
  <c r="E399" i="1"/>
  <c r="F399" i="1"/>
  <c r="G399" i="1"/>
  <c r="H399" i="1"/>
  <c r="I399" i="1"/>
  <c r="A400" i="1"/>
  <c r="B400" i="1"/>
  <c r="C400" i="1"/>
  <c r="D400" i="1"/>
  <c r="E400" i="1"/>
  <c r="F400" i="1"/>
  <c r="G400" i="1"/>
  <c r="H400" i="1"/>
  <c r="I400" i="1"/>
  <c r="A401" i="1"/>
  <c r="B401" i="1"/>
  <c r="C401" i="1"/>
  <c r="D401" i="1"/>
  <c r="E401" i="1"/>
  <c r="F401" i="1"/>
  <c r="G401" i="1"/>
  <c r="H401" i="1"/>
  <c r="I401" i="1"/>
  <c r="A402" i="1"/>
  <c r="B402" i="1"/>
  <c r="C402" i="1"/>
  <c r="D402" i="1"/>
  <c r="E402" i="1"/>
  <c r="F402" i="1"/>
  <c r="G402" i="1"/>
  <c r="H402" i="1"/>
  <c r="I402" i="1"/>
  <c r="A403" i="1"/>
  <c r="B403" i="1"/>
  <c r="C403" i="1"/>
  <c r="D403" i="1"/>
  <c r="E403" i="1"/>
  <c r="F403" i="1"/>
  <c r="G403" i="1"/>
  <c r="H403" i="1"/>
  <c r="I403" i="1"/>
  <c r="A404" i="1"/>
  <c r="B404" i="1"/>
  <c r="C404" i="1"/>
  <c r="D404" i="1"/>
  <c r="E404" i="1"/>
  <c r="F404" i="1"/>
  <c r="G404" i="1"/>
  <c r="H404" i="1"/>
  <c r="I404" i="1"/>
  <c r="A405" i="1"/>
  <c r="B405" i="1"/>
  <c r="C405" i="1"/>
  <c r="D405" i="1"/>
  <c r="E405" i="1"/>
  <c r="F405" i="1"/>
  <c r="G405" i="1"/>
  <c r="H405" i="1"/>
  <c r="I405" i="1"/>
  <c r="A406" i="1"/>
  <c r="B406" i="1"/>
  <c r="C406" i="1"/>
  <c r="D406" i="1"/>
  <c r="E406" i="1"/>
  <c r="F406" i="1"/>
  <c r="G406" i="1"/>
  <c r="H406" i="1"/>
  <c r="I406" i="1"/>
  <c r="A407" i="1"/>
  <c r="B407" i="1"/>
  <c r="C407" i="1"/>
  <c r="D407" i="1"/>
  <c r="E407" i="1"/>
  <c r="F407" i="1"/>
  <c r="G407" i="1"/>
  <c r="H407" i="1"/>
  <c r="I407" i="1"/>
  <c r="A408" i="1"/>
  <c r="B408" i="1"/>
  <c r="C408" i="1"/>
  <c r="D408" i="1"/>
  <c r="E408" i="1"/>
  <c r="F408" i="1"/>
  <c r="G408" i="1"/>
  <c r="H408" i="1"/>
  <c r="I408" i="1"/>
  <c r="A409" i="1"/>
  <c r="B409" i="1"/>
  <c r="C409" i="1"/>
  <c r="D409" i="1"/>
  <c r="E409" i="1"/>
  <c r="F409" i="1"/>
  <c r="G409" i="1"/>
  <c r="H409" i="1"/>
  <c r="I409" i="1"/>
  <c r="A410" i="1"/>
  <c r="B410" i="1"/>
  <c r="C410" i="1"/>
  <c r="D410" i="1"/>
  <c r="E410" i="1"/>
  <c r="F410" i="1"/>
  <c r="G410" i="1"/>
  <c r="H410" i="1"/>
  <c r="I410" i="1"/>
  <c r="A411" i="1"/>
  <c r="B411" i="1"/>
  <c r="C411" i="1"/>
  <c r="D411" i="1"/>
  <c r="E411" i="1"/>
  <c r="F411" i="1"/>
  <c r="G411" i="1"/>
  <c r="H411" i="1"/>
  <c r="I411" i="1"/>
  <c r="A412" i="1"/>
  <c r="B412" i="1"/>
  <c r="C412" i="1"/>
  <c r="D412" i="1"/>
  <c r="E412" i="1"/>
  <c r="F412" i="1"/>
  <c r="G412" i="1"/>
  <c r="H412" i="1"/>
  <c r="I412" i="1"/>
  <c r="A413" i="1"/>
  <c r="B413" i="1"/>
  <c r="C413" i="1"/>
  <c r="D413" i="1"/>
  <c r="E413" i="1"/>
  <c r="F413" i="1"/>
  <c r="G413" i="1"/>
  <c r="H413" i="1"/>
  <c r="I413" i="1"/>
  <c r="A414" i="1"/>
  <c r="B414" i="1"/>
  <c r="C414" i="1"/>
  <c r="D414" i="1"/>
  <c r="E414" i="1"/>
  <c r="F414" i="1"/>
  <c r="G414" i="1"/>
  <c r="H414" i="1"/>
  <c r="I414" i="1"/>
  <c r="A415" i="1"/>
  <c r="B415" i="1"/>
  <c r="C415" i="1"/>
  <c r="D415" i="1"/>
  <c r="E415" i="1"/>
  <c r="F415" i="1"/>
  <c r="G415" i="1"/>
  <c r="H415" i="1"/>
  <c r="I415" i="1"/>
  <c r="A416" i="1"/>
  <c r="B416" i="1"/>
  <c r="C416" i="1"/>
  <c r="D416" i="1"/>
  <c r="E416" i="1"/>
  <c r="F416" i="1"/>
  <c r="G416" i="1"/>
  <c r="H416" i="1"/>
  <c r="I416" i="1"/>
  <c r="A417" i="1"/>
  <c r="B417" i="1"/>
  <c r="C417" i="1"/>
  <c r="D417" i="1"/>
  <c r="E417" i="1"/>
  <c r="F417" i="1"/>
  <c r="G417" i="1"/>
  <c r="H417" i="1"/>
  <c r="I417" i="1"/>
  <c r="A418" i="1"/>
  <c r="B418" i="1"/>
  <c r="C418" i="1"/>
  <c r="D418" i="1"/>
  <c r="E418" i="1"/>
  <c r="F418" i="1"/>
  <c r="G418" i="1"/>
  <c r="H418" i="1"/>
  <c r="I418" i="1"/>
  <c r="A419" i="1"/>
  <c r="B419" i="1"/>
  <c r="C419" i="1"/>
  <c r="D419" i="1"/>
  <c r="E419" i="1"/>
  <c r="F419" i="1"/>
  <c r="G419" i="1"/>
  <c r="H419" i="1"/>
  <c r="I419" i="1"/>
  <c r="A420" i="1"/>
  <c r="B420" i="1"/>
  <c r="C420" i="1"/>
  <c r="D420" i="1"/>
  <c r="E420" i="1"/>
  <c r="F420" i="1"/>
  <c r="G420" i="1"/>
  <c r="H420" i="1"/>
  <c r="I420" i="1"/>
  <c r="A421" i="1"/>
  <c r="B421" i="1"/>
  <c r="C421" i="1"/>
  <c r="D421" i="1"/>
  <c r="E421" i="1"/>
  <c r="F421" i="1"/>
  <c r="G421" i="1"/>
  <c r="H421" i="1"/>
  <c r="I421" i="1"/>
  <c r="A422" i="1"/>
  <c r="B422" i="1"/>
  <c r="C422" i="1"/>
  <c r="D422" i="1"/>
  <c r="E422" i="1"/>
  <c r="F422" i="1"/>
  <c r="G422" i="1"/>
  <c r="H422" i="1"/>
  <c r="I422" i="1"/>
  <c r="A423" i="1"/>
  <c r="B423" i="1"/>
  <c r="C423" i="1"/>
  <c r="D423" i="1"/>
  <c r="E423" i="1"/>
  <c r="F423" i="1"/>
  <c r="G423" i="1"/>
  <c r="H423" i="1"/>
  <c r="I423" i="1"/>
  <c r="A424" i="1"/>
  <c r="B424" i="1"/>
  <c r="C424" i="1"/>
  <c r="D424" i="1"/>
  <c r="E424" i="1"/>
  <c r="F424" i="1"/>
  <c r="G424" i="1"/>
  <c r="H424" i="1"/>
  <c r="I424" i="1"/>
  <c r="A425" i="1"/>
  <c r="B425" i="1"/>
  <c r="C425" i="1"/>
  <c r="D425" i="1"/>
  <c r="E425" i="1"/>
  <c r="F425" i="1"/>
  <c r="G425" i="1"/>
  <c r="H425" i="1"/>
  <c r="I425" i="1"/>
  <c r="A426" i="1"/>
  <c r="B426" i="1"/>
  <c r="C426" i="1"/>
  <c r="D426" i="1"/>
  <c r="E426" i="1"/>
  <c r="F426" i="1"/>
  <c r="G426" i="1"/>
  <c r="H426" i="1"/>
  <c r="I426" i="1"/>
  <c r="A427" i="1"/>
  <c r="B427" i="1"/>
  <c r="C427" i="1"/>
  <c r="D427" i="1"/>
  <c r="E427" i="1"/>
  <c r="F427" i="1"/>
  <c r="G427" i="1"/>
  <c r="H427" i="1"/>
  <c r="I427" i="1"/>
  <c r="A428" i="1"/>
  <c r="B428" i="1"/>
  <c r="C428" i="1"/>
  <c r="D428" i="1"/>
  <c r="E428" i="1"/>
  <c r="F428" i="1"/>
  <c r="G428" i="1"/>
  <c r="H428" i="1"/>
  <c r="I428" i="1"/>
  <c r="A429" i="1"/>
  <c r="B429" i="1"/>
  <c r="C429" i="1"/>
  <c r="D429" i="1"/>
  <c r="E429" i="1"/>
  <c r="F429" i="1"/>
  <c r="G429" i="1"/>
  <c r="H429" i="1"/>
  <c r="I429" i="1"/>
  <c r="A430" i="1"/>
  <c r="B430" i="1"/>
  <c r="C430" i="1"/>
  <c r="D430" i="1"/>
  <c r="E430" i="1"/>
  <c r="F430" i="1"/>
  <c r="G430" i="1"/>
  <c r="H430" i="1"/>
  <c r="I430" i="1"/>
  <c r="A431" i="1"/>
  <c r="B431" i="1"/>
  <c r="C431" i="1"/>
  <c r="D431" i="1"/>
  <c r="E431" i="1"/>
  <c r="F431" i="1"/>
  <c r="G431" i="1"/>
  <c r="H431" i="1"/>
  <c r="I431" i="1"/>
  <c r="A432" i="1"/>
  <c r="B432" i="1"/>
  <c r="C432" i="1"/>
  <c r="D432" i="1"/>
  <c r="E432" i="1"/>
  <c r="F432" i="1"/>
  <c r="G432" i="1"/>
  <c r="H432" i="1"/>
  <c r="I432" i="1"/>
  <c r="A433" i="1"/>
  <c r="B433" i="1"/>
  <c r="C433" i="1"/>
  <c r="D433" i="1"/>
  <c r="E433" i="1"/>
  <c r="F433" i="1"/>
  <c r="G433" i="1"/>
  <c r="H433" i="1"/>
  <c r="I433" i="1"/>
  <c r="A434" i="1"/>
  <c r="B434" i="1"/>
  <c r="C434" i="1"/>
  <c r="D434" i="1"/>
  <c r="E434" i="1"/>
  <c r="F434" i="1"/>
  <c r="G434" i="1"/>
  <c r="H434" i="1"/>
  <c r="I434" i="1"/>
  <c r="A435" i="1"/>
  <c r="B435" i="1"/>
  <c r="C435" i="1"/>
  <c r="D435" i="1"/>
  <c r="E435" i="1"/>
  <c r="F435" i="1"/>
  <c r="G435" i="1"/>
  <c r="H435" i="1"/>
  <c r="I435" i="1"/>
  <c r="A436" i="1"/>
  <c r="B436" i="1"/>
  <c r="C436" i="1"/>
  <c r="D436" i="1"/>
  <c r="E436" i="1"/>
  <c r="F436" i="1"/>
  <c r="G436" i="1"/>
  <c r="H436" i="1"/>
  <c r="I436" i="1"/>
  <c r="A437" i="1"/>
  <c r="B437" i="1"/>
  <c r="C437" i="1"/>
  <c r="D437" i="1"/>
  <c r="E437" i="1"/>
  <c r="F437" i="1"/>
  <c r="G437" i="1"/>
  <c r="H437" i="1"/>
  <c r="I437" i="1"/>
  <c r="A438" i="1"/>
  <c r="B438" i="1"/>
  <c r="C438" i="1"/>
  <c r="D438" i="1"/>
  <c r="E438" i="1"/>
  <c r="F438" i="1"/>
  <c r="G438" i="1"/>
  <c r="H438" i="1"/>
  <c r="I438" i="1"/>
  <c r="A439" i="1"/>
  <c r="B439" i="1"/>
  <c r="C439" i="1"/>
  <c r="D439" i="1"/>
  <c r="E439" i="1"/>
  <c r="F439" i="1"/>
  <c r="G439" i="1"/>
  <c r="H439" i="1"/>
  <c r="I439" i="1"/>
  <c r="A440" i="1"/>
  <c r="B440" i="1"/>
  <c r="C440" i="1"/>
  <c r="D440" i="1"/>
  <c r="E440" i="1"/>
  <c r="F440" i="1"/>
  <c r="G440" i="1"/>
  <c r="H440" i="1"/>
  <c r="I440" i="1"/>
  <c r="A441" i="1"/>
  <c r="B441" i="1"/>
  <c r="C441" i="1"/>
  <c r="D441" i="1"/>
  <c r="E441" i="1"/>
  <c r="F441" i="1"/>
  <c r="G441" i="1"/>
  <c r="H441" i="1"/>
  <c r="I441" i="1"/>
  <c r="A442" i="1"/>
  <c r="B442" i="1"/>
  <c r="C442" i="1"/>
  <c r="D442" i="1"/>
  <c r="E442" i="1"/>
  <c r="F442" i="1"/>
  <c r="G442" i="1"/>
  <c r="H442" i="1"/>
  <c r="I442" i="1"/>
  <c r="A443" i="1"/>
  <c r="B443" i="1"/>
  <c r="C443" i="1"/>
  <c r="D443" i="1"/>
  <c r="E443" i="1"/>
  <c r="F443" i="1"/>
  <c r="G443" i="1"/>
  <c r="H443" i="1"/>
  <c r="I443" i="1"/>
  <c r="A444" i="1"/>
  <c r="B444" i="1"/>
  <c r="C444" i="1"/>
  <c r="D444" i="1"/>
  <c r="E444" i="1"/>
  <c r="F444" i="1"/>
  <c r="G444" i="1"/>
  <c r="H444" i="1"/>
  <c r="I444" i="1"/>
  <c r="A445" i="1"/>
  <c r="B445" i="1"/>
  <c r="C445" i="1"/>
  <c r="D445" i="1"/>
  <c r="E445" i="1"/>
  <c r="F445" i="1"/>
  <c r="G445" i="1"/>
  <c r="H445" i="1"/>
  <c r="I445" i="1"/>
  <c r="A446" i="1"/>
  <c r="B446" i="1"/>
  <c r="C446" i="1"/>
  <c r="D446" i="1"/>
  <c r="E446" i="1"/>
  <c r="F446" i="1"/>
  <c r="G446" i="1"/>
  <c r="H446" i="1"/>
  <c r="I446" i="1"/>
  <c r="A447" i="1"/>
  <c r="B447" i="1"/>
  <c r="C447" i="1"/>
  <c r="D447" i="1"/>
  <c r="E447" i="1"/>
  <c r="F447" i="1"/>
  <c r="G447" i="1"/>
  <c r="H447" i="1"/>
  <c r="I447" i="1"/>
  <c r="A448" i="1"/>
  <c r="B448" i="1"/>
  <c r="C448" i="1"/>
  <c r="D448" i="1"/>
  <c r="E448" i="1"/>
  <c r="F448" i="1"/>
  <c r="G448" i="1"/>
  <c r="H448" i="1"/>
  <c r="I448" i="1"/>
  <c r="A449" i="1"/>
  <c r="B449" i="1"/>
  <c r="C449" i="1"/>
  <c r="D449" i="1"/>
  <c r="E449" i="1"/>
  <c r="F449" i="1"/>
  <c r="G449" i="1"/>
  <c r="H449" i="1"/>
  <c r="I449" i="1"/>
  <c r="A450" i="1"/>
  <c r="B450" i="1"/>
  <c r="C450" i="1"/>
  <c r="D450" i="1"/>
  <c r="E450" i="1"/>
  <c r="F450" i="1"/>
  <c r="G450" i="1"/>
  <c r="H450" i="1"/>
  <c r="I450" i="1"/>
  <c r="A451" i="1"/>
  <c r="B451" i="1"/>
  <c r="C451" i="1"/>
  <c r="D451" i="1"/>
  <c r="E451" i="1"/>
  <c r="F451" i="1"/>
  <c r="G451" i="1"/>
  <c r="H451" i="1"/>
  <c r="I451" i="1"/>
  <c r="A452" i="1"/>
  <c r="B452" i="1"/>
  <c r="C452" i="1"/>
  <c r="D452" i="1"/>
  <c r="E452" i="1"/>
  <c r="F452" i="1"/>
  <c r="G452" i="1"/>
  <c r="H452" i="1"/>
  <c r="I452" i="1"/>
  <c r="A453" i="1"/>
  <c r="B453" i="1"/>
  <c r="C453" i="1"/>
  <c r="D453" i="1"/>
  <c r="E453" i="1"/>
  <c r="F453" i="1"/>
  <c r="G453" i="1"/>
  <c r="H453" i="1"/>
  <c r="I453" i="1"/>
  <c r="A454" i="1"/>
  <c r="B454" i="1"/>
  <c r="C454" i="1"/>
  <c r="D454" i="1"/>
  <c r="E454" i="1"/>
  <c r="F454" i="1"/>
  <c r="G454" i="1"/>
  <c r="H454" i="1"/>
  <c r="I454" i="1"/>
  <c r="A455" i="1"/>
  <c r="B455" i="1"/>
  <c r="C455" i="1"/>
  <c r="D455" i="1"/>
  <c r="E455" i="1"/>
  <c r="F455" i="1"/>
  <c r="G455" i="1"/>
  <c r="H455" i="1"/>
  <c r="I455" i="1"/>
  <c r="A456" i="1"/>
  <c r="B456" i="1"/>
  <c r="C456" i="1"/>
  <c r="D456" i="1"/>
  <c r="E456" i="1"/>
  <c r="F456" i="1"/>
  <c r="G456" i="1"/>
  <c r="H456" i="1"/>
  <c r="I456" i="1"/>
  <c r="A457" i="1"/>
  <c r="B457" i="1"/>
  <c r="C457" i="1"/>
  <c r="D457" i="1"/>
  <c r="E457" i="1"/>
  <c r="F457" i="1"/>
  <c r="G457" i="1"/>
  <c r="H457" i="1"/>
  <c r="I457" i="1"/>
  <c r="A458" i="1"/>
  <c r="B458" i="1"/>
  <c r="C458" i="1"/>
  <c r="D458" i="1"/>
  <c r="E458" i="1"/>
  <c r="F458" i="1"/>
  <c r="G458" i="1"/>
  <c r="H458" i="1"/>
  <c r="I458" i="1"/>
  <c r="A459" i="1"/>
  <c r="B459" i="1"/>
  <c r="C459" i="1"/>
  <c r="D459" i="1"/>
  <c r="E459" i="1"/>
  <c r="F459" i="1"/>
  <c r="G459" i="1"/>
  <c r="H459" i="1"/>
  <c r="I459" i="1"/>
  <c r="A460" i="1"/>
  <c r="B460" i="1"/>
  <c r="C460" i="1"/>
  <c r="D460" i="1"/>
  <c r="E460" i="1"/>
  <c r="F460" i="1"/>
  <c r="G460" i="1"/>
  <c r="H460" i="1"/>
  <c r="I460" i="1"/>
  <c r="A461" i="1"/>
  <c r="B461" i="1"/>
  <c r="C461" i="1"/>
  <c r="D461" i="1"/>
  <c r="E461" i="1"/>
  <c r="F461" i="1"/>
  <c r="G461" i="1"/>
  <c r="H461" i="1"/>
  <c r="I461" i="1"/>
  <c r="A462" i="1"/>
  <c r="B462" i="1"/>
  <c r="C462" i="1"/>
  <c r="D462" i="1"/>
  <c r="E462" i="1"/>
  <c r="F462" i="1"/>
  <c r="G462" i="1"/>
  <c r="H462" i="1"/>
  <c r="I462" i="1"/>
  <c r="A463" i="1"/>
  <c r="B463" i="1"/>
  <c r="C463" i="1"/>
  <c r="D463" i="1"/>
  <c r="E463" i="1"/>
  <c r="F463" i="1"/>
  <c r="G463" i="1"/>
  <c r="H463" i="1"/>
  <c r="I463" i="1"/>
  <c r="A464" i="1"/>
  <c r="B464" i="1"/>
  <c r="C464" i="1"/>
  <c r="D464" i="1"/>
  <c r="E464" i="1"/>
  <c r="F464" i="1"/>
  <c r="G464" i="1"/>
  <c r="H464" i="1"/>
  <c r="I464" i="1"/>
  <c r="A465" i="1"/>
  <c r="B465" i="1"/>
  <c r="C465" i="1"/>
  <c r="D465" i="1"/>
  <c r="E465" i="1"/>
  <c r="F465" i="1"/>
  <c r="G465" i="1"/>
  <c r="H465" i="1"/>
  <c r="I465" i="1"/>
  <c r="A466" i="1"/>
  <c r="B466" i="1"/>
  <c r="C466" i="1"/>
  <c r="D466" i="1"/>
  <c r="E466" i="1"/>
  <c r="F466" i="1"/>
  <c r="G466" i="1"/>
  <c r="H466" i="1"/>
  <c r="I466" i="1"/>
  <c r="A467" i="1"/>
  <c r="B467" i="1"/>
  <c r="C467" i="1"/>
  <c r="D467" i="1"/>
  <c r="E467" i="1"/>
  <c r="F467" i="1"/>
  <c r="G467" i="1"/>
  <c r="H467" i="1"/>
  <c r="I467" i="1"/>
  <c r="A468" i="1"/>
  <c r="B468" i="1"/>
  <c r="C468" i="1"/>
  <c r="D468" i="1"/>
  <c r="E468" i="1"/>
  <c r="F468" i="1"/>
  <c r="G468" i="1"/>
  <c r="H468" i="1"/>
  <c r="I468" i="1"/>
  <c r="A469" i="1"/>
  <c r="B469" i="1"/>
  <c r="C469" i="1"/>
  <c r="D469" i="1"/>
  <c r="E469" i="1"/>
  <c r="F469" i="1"/>
  <c r="G469" i="1"/>
  <c r="H469" i="1"/>
  <c r="I469" i="1"/>
  <c r="A470" i="1"/>
  <c r="B470" i="1"/>
  <c r="C470" i="1"/>
  <c r="D470" i="1"/>
  <c r="E470" i="1"/>
  <c r="F470" i="1"/>
  <c r="G470" i="1"/>
  <c r="H470" i="1"/>
  <c r="I470" i="1"/>
  <c r="A471" i="1"/>
  <c r="B471" i="1"/>
  <c r="C471" i="1"/>
  <c r="D471" i="1"/>
  <c r="E471" i="1"/>
  <c r="F471" i="1"/>
  <c r="G471" i="1"/>
  <c r="H471" i="1"/>
  <c r="I471" i="1"/>
  <c r="A472" i="1"/>
  <c r="B472" i="1"/>
  <c r="C472" i="1"/>
  <c r="D472" i="1"/>
  <c r="E472" i="1"/>
  <c r="F472" i="1"/>
  <c r="G472" i="1"/>
  <c r="H472" i="1"/>
  <c r="I472" i="1"/>
  <c r="A473" i="1"/>
  <c r="B473" i="1"/>
  <c r="C473" i="1"/>
  <c r="D473" i="1"/>
  <c r="E473" i="1"/>
  <c r="F473" i="1"/>
  <c r="G473" i="1"/>
  <c r="H473" i="1"/>
  <c r="I473" i="1"/>
  <c r="A474" i="1"/>
  <c r="B474" i="1"/>
  <c r="C474" i="1"/>
  <c r="D474" i="1"/>
  <c r="E474" i="1"/>
  <c r="F474" i="1"/>
  <c r="G474" i="1"/>
  <c r="H474" i="1"/>
  <c r="I474" i="1"/>
  <c r="A475" i="1"/>
  <c r="B475" i="1"/>
  <c r="C475" i="1"/>
  <c r="D475" i="1"/>
  <c r="E475" i="1"/>
  <c r="F475" i="1"/>
  <c r="G475" i="1"/>
  <c r="H475" i="1"/>
  <c r="I475" i="1"/>
  <c r="A476" i="1"/>
  <c r="B476" i="1"/>
  <c r="C476" i="1"/>
  <c r="D476" i="1"/>
  <c r="E476" i="1"/>
  <c r="F476" i="1"/>
  <c r="G476" i="1"/>
  <c r="H476" i="1"/>
  <c r="I476" i="1"/>
  <c r="A477" i="1"/>
  <c r="B477" i="1"/>
  <c r="C477" i="1"/>
  <c r="D477" i="1"/>
  <c r="E477" i="1"/>
  <c r="F477" i="1"/>
  <c r="G477" i="1"/>
  <c r="H477" i="1"/>
  <c r="I477" i="1"/>
  <c r="A478" i="1"/>
  <c r="B478" i="1"/>
  <c r="C478" i="1"/>
  <c r="D478" i="1"/>
  <c r="E478" i="1"/>
  <c r="F478" i="1"/>
  <c r="G478" i="1"/>
  <c r="H478" i="1"/>
  <c r="I478" i="1"/>
  <c r="A479" i="1"/>
  <c r="B479" i="1"/>
  <c r="C479" i="1"/>
  <c r="D479" i="1"/>
  <c r="E479" i="1"/>
  <c r="F479" i="1"/>
  <c r="G479" i="1"/>
  <c r="H479" i="1"/>
  <c r="I479" i="1"/>
  <c r="A480" i="1"/>
  <c r="B480" i="1"/>
  <c r="C480" i="1"/>
  <c r="D480" i="1"/>
  <c r="E480" i="1"/>
  <c r="F480" i="1"/>
  <c r="G480" i="1"/>
  <c r="H480" i="1"/>
  <c r="I480" i="1"/>
  <c r="A481" i="1"/>
  <c r="B481" i="1"/>
  <c r="C481" i="1"/>
  <c r="D481" i="1"/>
  <c r="E481" i="1"/>
  <c r="F481" i="1"/>
  <c r="G481" i="1"/>
  <c r="H481" i="1"/>
  <c r="I481" i="1"/>
  <c r="A482" i="1"/>
  <c r="B482" i="1"/>
  <c r="C482" i="1"/>
  <c r="D482" i="1"/>
  <c r="E482" i="1"/>
  <c r="F482" i="1"/>
  <c r="G482" i="1"/>
  <c r="H482" i="1"/>
  <c r="I482" i="1"/>
  <c r="A483" i="1"/>
  <c r="B483" i="1"/>
  <c r="C483" i="1"/>
  <c r="D483" i="1"/>
  <c r="E483" i="1"/>
  <c r="F483" i="1"/>
  <c r="G483" i="1"/>
  <c r="H483" i="1"/>
  <c r="I483" i="1"/>
  <c r="A484" i="1"/>
  <c r="B484" i="1"/>
  <c r="C484" i="1"/>
  <c r="D484" i="1"/>
  <c r="E484" i="1"/>
  <c r="F484" i="1"/>
  <c r="G484" i="1"/>
  <c r="H484" i="1"/>
  <c r="I484" i="1"/>
  <c r="A485" i="1"/>
  <c r="B485" i="1"/>
  <c r="C485" i="1"/>
  <c r="D485" i="1"/>
  <c r="E485" i="1"/>
  <c r="F485" i="1"/>
  <c r="G485" i="1"/>
  <c r="H485" i="1"/>
  <c r="I485" i="1"/>
  <c r="A486" i="1"/>
  <c r="B486" i="1"/>
  <c r="C486" i="1"/>
  <c r="D486" i="1"/>
  <c r="E486" i="1"/>
  <c r="F486" i="1"/>
  <c r="G486" i="1"/>
  <c r="H486" i="1"/>
  <c r="I486" i="1"/>
  <c r="A487" i="1"/>
  <c r="B487" i="1"/>
  <c r="C487" i="1"/>
  <c r="D487" i="1"/>
  <c r="E487" i="1"/>
  <c r="F487" i="1"/>
  <c r="G487" i="1"/>
  <c r="H487" i="1"/>
  <c r="I487" i="1"/>
  <c r="A488" i="1"/>
  <c r="B488" i="1"/>
  <c r="C488" i="1"/>
  <c r="D488" i="1"/>
  <c r="E488" i="1"/>
  <c r="F488" i="1"/>
  <c r="G488" i="1"/>
  <c r="H488" i="1"/>
  <c r="I488" i="1"/>
  <c r="A489" i="1"/>
  <c r="B489" i="1"/>
  <c r="C489" i="1"/>
  <c r="D489" i="1"/>
  <c r="E489" i="1"/>
  <c r="F489" i="1"/>
  <c r="G489" i="1"/>
  <c r="H489" i="1"/>
  <c r="I489" i="1"/>
  <c r="A490" i="1"/>
  <c r="B490" i="1"/>
  <c r="C490" i="1"/>
  <c r="D490" i="1"/>
  <c r="E490" i="1"/>
  <c r="F490" i="1"/>
  <c r="G490" i="1"/>
  <c r="H490" i="1"/>
  <c r="I490" i="1"/>
  <c r="A491" i="1"/>
  <c r="B491" i="1"/>
  <c r="C491" i="1"/>
  <c r="D491" i="1"/>
  <c r="E491" i="1"/>
  <c r="F491" i="1"/>
  <c r="G491" i="1"/>
  <c r="H491" i="1"/>
  <c r="I491" i="1"/>
  <c r="A492" i="1"/>
  <c r="B492" i="1"/>
  <c r="C492" i="1"/>
  <c r="D492" i="1"/>
  <c r="E492" i="1"/>
  <c r="F492" i="1"/>
  <c r="G492" i="1"/>
  <c r="H492" i="1"/>
  <c r="I492" i="1"/>
  <c r="A493" i="1"/>
  <c r="B493" i="1"/>
  <c r="C493" i="1"/>
  <c r="D493" i="1"/>
  <c r="E493" i="1"/>
  <c r="F493" i="1"/>
  <c r="G493" i="1"/>
  <c r="H493" i="1"/>
  <c r="I493" i="1"/>
  <c r="A494" i="1"/>
  <c r="B494" i="1"/>
  <c r="C494" i="1"/>
  <c r="D494" i="1"/>
  <c r="E494" i="1"/>
  <c r="F494" i="1"/>
  <c r="G494" i="1"/>
  <c r="H494" i="1"/>
  <c r="I494" i="1"/>
  <c r="A495" i="1"/>
  <c r="B495" i="1"/>
  <c r="C495" i="1"/>
  <c r="D495" i="1"/>
  <c r="E495" i="1"/>
  <c r="F495" i="1"/>
  <c r="G495" i="1"/>
  <c r="H495" i="1"/>
  <c r="I495" i="1"/>
  <c r="A496" i="1"/>
  <c r="B496" i="1"/>
  <c r="C496" i="1"/>
  <c r="D496" i="1"/>
  <c r="E496" i="1"/>
  <c r="F496" i="1"/>
  <c r="G496" i="1"/>
  <c r="H496" i="1"/>
  <c r="I496" i="1"/>
  <c r="A497" i="1"/>
  <c r="B497" i="1"/>
  <c r="C497" i="1"/>
  <c r="D497" i="1"/>
  <c r="E497" i="1"/>
  <c r="F497" i="1"/>
  <c r="G497" i="1"/>
  <c r="H497" i="1"/>
  <c r="I497" i="1"/>
  <c r="A498" i="1"/>
  <c r="B498" i="1"/>
  <c r="C498" i="1"/>
  <c r="D498" i="1"/>
  <c r="E498" i="1"/>
  <c r="F498" i="1"/>
  <c r="G498" i="1"/>
  <c r="H498" i="1"/>
  <c r="I498" i="1"/>
  <c r="A499" i="1"/>
  <c r="B499" i="1"/>
  <c r="C499" i="1"/>
  <c r="D499" i="1"/>
  <c r="E499" i="1"/>
  <c r="F499" i="1"/>
  <c r="G499" i="1"/>
  <c r="H499" i="1"/>
  <c r="I499" i="1"/>
  <c r="A500" i="1"/>
  <c r="B500" i="1"/>
  <c r="C500" i="1"/>
  <c r="D500" i="1"/>
  <c r="E500" i="1"/>
  <c r="F500" i="1"/>
  <c r="G500" i="1"/>
  <c r="H500" i="1"/>
  <c r="I500" i="1"/>
  <c r="A501" i="1"/>
  <c r="B501" i="1"/>
  <c r="C501" i="1"/>
  <c r="D501" i="1"/>
  <c r="E501" i="1"/>
  <c r="F501" i="1"/>
  <c r="G501" i="1"/>
  <c r="H501" i="1"/>
  <c r="I501" i="1"/>
  <c r="A502" i="1"/>
  <c r="B502" i="1"/>
  <c r="C502" i="1"/>
  <c r="D502" i="1"/>
  <c r="E502" i="1"/>
  <c r="F502" i="1"/>
  <c r="G502" i="1"/>
  <c r="H502" i="1"/>
  <c r="I502" i="1"/>
  <c r="A503" i="1"/>
  <c r="B503" i="1"/>
  <c r="C503" i="1"/>
  <c r="D503" i="1"/>
  <c r="E503" i="1"/>
  <c r="F503" i="1"/>
  <c r="G503" i="1"/>
  <c r="H503" i="1"/>
  <c r="I503" i="1"/>
  <c r="A504" i="1"/>
  <c r="B504" i="1"/>
  <c r="C504" i="1"/>
  <c r="D504" i="1"/>
  <c r="E504" i="1"/>
  <c r="F504" i="1"/>
  <c r="G504" i="1"/>
  <c r="H504" i="1"/>
  <c r="I504" i="1"/>
  <c r="A505" i="1"/>
  <c r="B505" i="1"/>
  <c r="C505" i="1"/>
  <c r="D505" i="1"/>
  <c r="E505" i="1"/>
  <c r="F505" i="1"/>
  <c r="G505" i="1"/>
  <c r="H505" i="1"/>
  <c r="I505" i="1"/>
  <c r="A506" i="1"/>
  <c r="B506" i="1"/>
  <c r="C506" i="1"/>
  <c r="D506" i="1"/>
  <c r="E506" i="1"/>
  <c r="F506" i="1"/>
  <c r="G506" i="1"/>
  <c r="H506" i="1"/>
  <c r="I506" i="1"/>
  <c r="A507" i="1"/>
  <c r="B507" i="1"/>
  <c r="C507" i="1"/>
  <c r="D507" i="1"/>
  <c r="E507" i="1"/>
  <c r="F507" i="1"/>
  <c r="G507" i="1"/>
  <c r="H507" i="1"/>
  <c r="I507" i="1"/>
  <c r="A508" i="1"/>
  <c r="B508" i="1"/>
  <c r="C508" i="1"/>
  <c r="D508" i="1"/>
  <c r="E508" i="1"/>
  <c r="F508" i="1"/>
  <c r="G508" i="1"/>
  <c r="H508" i="1"/>
  <c r="I508" i="1"/>
  <c r="A509" i="1"/>
  <c r="B509" i="1"/>
  <c r="C509" i="1"/>
  <c r="D509" i="1"/>
  <c r="E509" i="1"/>
  <c r="F509" i="1"/>
  <c r="G509" i="1"/>
  <c r="H509" i="1"/>
  <c r="I509" i="1"/>
  <c r="A510" i="1"/>
  <c r="B510" i="1"/>
  <c r="C510" i="1"/>
  <c r="D510" i="1"/>
  <c r="E510" i="1"/>
  <c r="F510" i="1"/>
  <c r="G510" i="1"/>
  <c r="H510" i="1"/>
  <c r="I510" i="1"/>
  <c r="A511" i="1"/>
  <c r="B511" i="1"/>
  <c r="C511" i="1"/>
  <c r="D511" i="1"/>
  <c r="E511" i="1"/>
  <c r="F511" i="1"/>
  <c r="G511" i="1"/>
  <c r="H511" i="1"/>
  <c r="I511" i="1"/>
  <c r="A512" i="1"/>
  <c r="B512" i="1"/>
  <c r="C512" i="1"/>
  <c r="D512" i="1"/>
  <c r="E512" i="1"/>
  <c r="F512" i="1"/>
  <c r="G512" i="1"/>
  <c r="H512" i="1"/>
  <c r="I512" i="1"/>
  <c r="A513" i="1"/>
  <c r="B513" i="1"/>
  <c r="C513" i="1"/>
  <c r="D513" i="1"/>
  <c r="E513" i="1"/>
  <c r="F513" i="1"/>
  <c r="G513" i="1"/>
  <c r="H513" i="1"/>
  <c r="I513" i="1"/>
  <c r="A514" i="1"/>
  <c r="B514" i="1"/>
  <c r="C514" i="1"/>
  <c r="D514" i="1"/>
  <c r="E514" i="1"/>
  <c r="F514" i="1"/>
  <c r="G514" i="1"/>
  <c r="H514" i="1"/>
  <c r="I514" i="1"/>
  <c r="A515" i="1"/>
  <c r="B515" i="1"/>
  <c r="C515" i="1"/>
  <c r="D515" i="1"/>
  <c r="E515" i="1"/>
  <c r="F515" i="1"/>
  <c r="G515" i="1"/>
  <c r="H515" i="1"/>
  <c r="I515" i="1"/>
  <c r="A516" i="1"/>
  <c r="B516" i="1"/>
  <c r="C516" i="1"/>
  <c r="D516" i="1"/>
  <c r="E516" i="1"/>
  <c r="F516" i="1"/>
  <c r="G516" i="1"/>
  <c r="H516" i="1"/>
  <c r="I516" i="1"/>
  <c r="A517" i="1"/>
  <c r="B517" i="1"/>
  <c r="C517" i="1"/>
  <c r="D517" i="1"/>
  <c r="E517" i="1"/>
  <c r="F517" i="1"/>
  <c r="G517" i="1"/>
  <c r="H517" i="1"/>
  <c r="I517" i="1"/>
  <c r="A518" i="1"/>
  <c r="B518" i="1"/>
  <c r="C518" i="1"/>
  <c r="D518" i="1"/>
  <c r="E518" i="1"/>
  <c r="F518" i="1"/>
  <c r="G518" i="1"/>
  <c r="H518" i="1"/>
  <c r="I518" i="1"/>
  <c r="A519" i="1"/>
  <c r="B519" i="1"/>
  <c r="C519" i="1"/>
  <c r="D519" i="1"/>
  <c r="E519" i="1"/>
  <c r="F519" i="1"/>
  <c r="G519" i="1"/>
  <c r="H519" i="1"/>
  <c r="I519" i="1"/>
  <c r="A520" i="1"/>
  <c r="B520" i="1"/>
  <c r="C520" i="1"/>
  <c r="D520" i="1"/>
  <c r="E520" i="1"/>
  <c r="F520" i="1"/>
  <c r="G520" i="1"/>
  <c r="H520" i="1"/>
  <c r="I520" i="1"/>
  <c r="A521" i="1"/>
  <c r="B521" i="1"/>
  <c r="C521" i="1"/>
  <c r="D521" i="1"/>
  <c r="E521" i="1"/>
  <c r="F521" i="1"/>
  <c r="G521" i="1"/>
  <c r="H521" i="1"/>
  <c r="I521" i="1"/>
  <c r="A522" i="1"/>
  <c r="B522" i="1"/>
  <c r="C522" i="1"/>
  <c r="D522" i="1"/>
  <c r="E522" i="1"/>
  <c r="F522" i="1"/>
  <c r="G522" i="1"/>
  <c r="H522" i="1"/>
  <c r="I522" i="1"/>
  <c r="A523" i="1"/>
  <c r="B523" i="1"/>
  <c r="C523" i="1"/>
  <c r="D523" i="1"/>
  <c r="E523" i="1"/>
  <c r="F523" i="1"/>
  <c r="G523" i="1"/>
  <c r="H523" i="1"/>
  <c r="I523" i="1"/>
  <c r="A524" i="1"/>
  <c r="B524" i="1"/>
  <c r="C524" i="1"/>
  <c r="D524" i="1"/>
  <c r="E524" i="1"/>
  <c r="F524" i="1"/>
  <c r="G524" i="1"/>
  <c r="H524" i="1"/>
  <c r="I524" i="1"/>
  <c r="A525" i="1"/>
  <c r="B525" i="1"/>
  <c r="C525" i="1"/>
  <c r="D525" i="1"/>
  <c r="E525" i="1"/>
  <c r="F525" i="1"/>
  <c r="G525" i="1"/>
  <c r="H525" i="1"/>
  <c r="I525" i="1"/>
  <c r="A526" i="1"/>
  <c r="B526" i="1"/>
  <c r="C526" i="1"/>
  <c r="D526" i="1"/>
  <c r="E526" i="1"/>
  <c r="F526" i="1"/>
  <c r="G526" i="1"/>
  <c r="H526" i="1"/>
  <c r="I526" i="1"/>
  <c r="A527" i="1"/>
  <c r="B527" i="1"/>
  <c r="C527" i="1"/>
  <c r="D527" i="1"/>
  <c r="E527" i="1"/>
  <c r="F527" i="1"/>
  <c r="G527" i="1"/>
  <c r="H527" i="1"/>
  <c r="I527" i="1"/>
  <c r="A528" i="1"/>
  <c r="B528" i="1"/>
  <c r="C528" i="1"/>
  <c r="D528" i="1"/>
  <c r="E528" i="1"/>
  <c r="F528" i="1"/>
  <c r="G528" i="1"/>
  <c r="H528" i="1"/>
  <c r="I528" i="1"/>
  <c r="A529" i="1"/>
  <c r="B529" i="1"/>
  <c r="C529" i="1"/>
  <c r="D529" i="1"/>
  <c r="E529" i="1"/>
  <c r="F529" i="1"/>
  <c r="G529" i="1"/>
  <c r="H529" i="1"/>
  <c r="I529" i="1"/>
  <c r="A530" i="1"/>
  <c r="B530" i="1"/>
  <c r="C530" i="1"/>
  <c r="D530" i="1"/>
  <c r="E530" i="1"/>
  <c r="F530" i="1"/>
  <c r="G530" i="1"/>
  <c r="H530" i="1"/>
  <c r="I530" i="1"/>
  <c r="A531" i="1"/>
  <c r="B531" i="1"/>
  <c r="C531" i="1"/>
  <c r="D531" i="1"/>
  <c r="E531" i="1"/>
  <c r="F531" i="1"/>
  <c r="G531" i="1"/>
  <c r="H531" i="1"/>
  <c r="I531" i="1"/>
  <c r="A532" i="1"/>
  <c r="B532" i="1"/>
  <c r="C532" i="1"/>
  <c r="D532" i="1"/>
  <c r="E532" i="1"/>
  <c r="F532" i="1"/>
  <c r="G532" i="1"/>
  <c r="H532" i="1"/>
  <c r="I532" i="1"/>
  <c r="A533" i="1"/>
  <c r="B533" i="1"/>
  <c r="C533" i="1"/>
  <c r="D533" i="1"/>
  <c r="E533" i="1"/>
  <c r="F533" i="1"/>
  <c r="G533" i="1"/>
  <c r="H533" i="1"/>
  <c r="I533" i="1"/>
  <c r="A534" i="1"/>
  <c r="B534" i="1"/>
  <c r="C534" i="1"/>
  <c r="D534" i="1"/>
  <c r="E534" i="1"/>
  <c r="F534" i="1"/>
  <c r="G534" i="1"/>
  <c r="H534" i="1"/>
  <c r="I534" i="1"/>
  <c r="A535" i="1"/>
  <c r="B535" i="1"/>
  <c r="C535" i="1"/>
  <c r="D535" i="1"/>
  <c r="E535" i="1"/>
  <c r="F535" i="1"/>
  <c r="G535" i="1"/>
  <c r="H535" i="1"/>
  <c r="I535" i="1"/>
  <c r="A536" i="1"/>
  <c r="B536" i="1"/>
  <c r="C536" i="1"/>
  <c r="D536" i="1"/>
  <c r="E536" i="1"/>
  <c r="F536" i="1"/>
  <c r="G536" i="1"/>
  <c r="H536" i="1"/>
  <c r="I536" i="1"/>
  <c r="A537" i="1"/>
  <c r="B537" i="1"/>
  <c r="C537" i="1"/>
  <c r="D537" i="1"/>
  <c r="E537" i="1"/>
  <c r="F537" i="1"/>
  <c r="G537" i="1"/>
  <c r="H537" i="1"/>
  <c r="I537" i="1"/>
  <c r="A538" i="1"/>
  <c r="B538" i="1"/>
  <c r="C538" i="1"/>
  <c r="D538" i="1"/>
  <c r="E538" i="1"/>
  <c r="F538" i="1"/>
  <c r="G538" i="1"/>
  <c r="H538" i="1"/>
  <c r="I538" i="1"/>
  <c r="A539" i="1"/>
  <c r="B539" i="1"/>
  <c r="C539" i="1"/>
  <c r="D539" i="1"/>
  <c r="E539" i="1"/>
  <c r="F539" i="1"/>
  <c r="G539" i="1"/>
  <c r="H539" i="1"/>
  <c r="I539" i="1"/>
  <c r="A540" i="1"/>
  <c r="B540" i="1"/>
  <c r="C540" i="1"/>
  <c r="D540" i="1"/>
  <c r="E540" i="1"/>
  <c r="F540" i="1"/>
  <c r="G540" i="1"/>
  <c r="H540" i="1"/>
  <c r="I540" i="1"/>
  <c r="A541" i="1"/>
  <c r="B541" i="1"/>
  <c r="C541" i="1"/>
  <c r="D541" i="1"/>
  <c r="E541" i="1"/>
  <c r="F541" i="1"/>
  <c r="G541" i="1"/>
  <c r="H541" i="1"/>
  <c r="I541" i="1"/>
  <c r="A542" i="1"/>
  <c r="B542" i="1"/>
  <c r="C542" i="1"/>
  <c r="D542" i="1"/>
  <c r="E542" i="1"/>
  <c r="F542" i="1"/>
  <c r="G542" i="1"/>
  <c r="H542" i="1"/>
  <c r="I542" i="1"/>
  <c r="A543" i="1"/>
  <c r="B543" i="1"/>
  <c r="C543" i="1"/>
  <c r="D543" i="1"/>
  <c r="E543" i="1"/>
  <c r="F543" i="1"/>
  <c r="G543" i="1"/>
  <c r="H543" i="1"/>
  <c r="I543" i="1"/>
  <c r="A544" i="1"/>
  <c r="B544" i="1"/>
  <c r="C544" i="1"/>
  <c r="D544" i="1"/>
  <c r="E544" i="1"/>
  <c r="F544" i="1"/>
  <c r="G544" i="1"/>
  <c r="H544" i="1"/>
  <c r="I544" i="1"/>
  <c r="A545" i="1"/>
  <c r="B545" i="1"/>
  <c r="C545" i="1"/>
  <c r="D545" i="1"/>
  <c r="E545" i="1"/>
  <c r="F545" i="1"/>
  <c r="G545" i="1"/>
  <c r="H545" i="1"/>
  <c r="I545" i="1"/>
  <c r="A546" i="1"/>
  <c r="B546" i="1"/>
  <c r="C546" i="1"/>
  <c r="D546" i="1"/>
  <c r="E546" i="1"/>
  <c r="F546" i="1"/>
  <c r="G546" i="1"/>
  <c r="H546" i="1"/>
  <c r="I546" i="1"/>
  <c r="A547" i="1"/>
  <c r="B547" i="1"/>
  <c r="C547" i="1"/>
  <c r="D547" i="1"/>
  <c r="E547" i="1"/>
  <c r="F547" i="1"/>
  <c r="G547" i="1"/>
  <c r="H547" i="1"/>
  <c r="I547" i="1"/>
  <c r="A548" i="1"/>
  <c r="B548" i="1"/>
  <c r="C548" i="1"/>
  <c r="D548" i="1"/>
  <c r="E548" i="1"/>
  <c r="F548" i="1"/>
  <c r="G548" i="1"/>
  <c r="H548" i="1"/>
  <c r="I548" i="1"/>
  <c r="A549" i="1"/>
  <c r="B549" i="1"/>
  <c r="C549" i="1"/>
  <c r="D549" i="1"/>
  <c r="E549" i="1"/>
  <c r="F549" i="1"/>
  <c r="G549" i="1"/>
  <c r="H549" i="1"/>
  <c r="I549" i="1"/>
  <c r="A550" i="1"/>
  <c r="B550" i="1"/>
  <c r="C550" i="1"/>
  <c r="D550" i="1"/>
  <c r="E550" i="1"/>
  <c r="F550" i="1"/>
  <c r="G550" i="1"/>
  <c r="H550" i="1"/>
  <c r="I550" i="1"/>
  <c r="A551" i="1"/>
  <c r="B551" i="1"/>
  <c r="C551" i="1"/>
  <c r="D551" i="1"/>
  <c r="E551" i="1"/>
  <c r="F551" i="1"/>
  <c r="G551" i="1"/>
  <c r="H551" i="1"/>
  <c r="I551" i="1"/>
  <c r="A552" i="1"/>
  <c r="B552" i="1"/>
  <c r="C552" i="1"/>
  <c r="D552" i="1"/>
  <c r="E552" i="1"/>
  <c r="F552" i="1"/>
  <c r="G552" i="1"/>
  <c r="H552" i="1"/>
  <c r="I552" i="1"/>
  <c r="A553" i="1"/>
  <c r="B553" i="1"/>
  <c r="C553" i="1"/>
  <c r="D553" i="1"/>
  <c r="E553" i="1"/>
  <c r="F553" i="1"/>
  <c r="G553" i="1"/>
  <c r="H553" i="1"/>
  <c r="I553" i="1"/>
  <c r="A554" i="1"/>
  <c r="B554" i="1"/>
  <c r="C554" i="1"/>
  <c r="D554" i="1"/>
  <c r="E554" i="1"/>
  <c r="F554" i="1"/>
  <c r="G554" i="1"/>
  <c r="H554" i="1"/>
  <c r="I554" i="1"/>
  <c r="A555" i="1"/>
  <c r="B555" i="1"/>
  <c r="C555" i="1"/>
  <c r="D555" i="1"/>
  <c r="E555" i="1"/>
  <c r="F555" i="1"/>
  <c r="G555" i="1"/>
  <c r="H555" i="1"/>
  <c r="I555" i="1"/>
  <c r="A556" i="1"/>
  <c r="B556" i="1"/>
  <c r="C556" i="1"/>
  <c r="D556" i="1"/>
  <c r="E556" i="1"/>
  <c r="F556" i="1"/>
  <c r="G556" i="1"/>
  <c r="H556" i="1"/>
  <c r="I556" i="1"/>
  <c r="A557" i="1"/>
  <c r="B557" i="1"/>
  <c r="C557" i="1"/>
  <c r="D557" i="1"/>
  <c r="E557" i="1"/>
  <c r="F557" i="1"/>
  <c r="G557" i="1"/>
  <c r="H557" i="1"/>
  <c r="I557" i="1"/>
  <c r="A558" i="1"/>
  <c r="B558" i="1"/>
  <c r="C558" i="1"/>
  <c r="D558" i="1"/>
  <c r="E558" i="1"/>
  <c r="F558" i="1"/>
  <c r="G558" i="1"/>
  <c r="H558" i="1"/>
  <c r="I558" i="1"/>
  <c r="A559" i="1"/>
  <c r="B559" i="1"/>
  <c r="C559" i="1"/>
  <c r="D559" i="1"/>
  <c r="E559" i="1"/>
  <c r="F559" i="1"/>
  <c r="G559" i="1"/>
  <c r="H559" i="1"/>
  <c r="I559" i="1"/>
  <c r="A560" i="1"/>
  <c r="B560" i="1"/>
  <c r="C560" i="1"/>
  <c r="D560" i="1"/>
  <c r="E560" i="1"/>
  <c r="F560" i="1"/>
  <c r="G560" i="1"/>
  <c r="H560" i="1"/>
  <c r="I560" i="1"/>
  <c r="A561" i="1"/>
  <c r="B561" i="1"/>
  <c r="C561" i="1"/>
  <c r="D561" i="1"/>
  <c r="E561" i="1"/>
  <c r="F561" i="1"/>
  <c r="G561" i="1"/>
  <c r="H561" i="1"/>
  <c r="I561" i="1"/>
  <c r="A562" i="1"/>
  <c r="B562" i="1"/>
  <c r="C562" i="1"/>
  <c r="D562" i="1"/>
  <c r="E562" i="1"/>
  <c r="F562" i="1"/>
  <c r="G562" i="1"/>
  <c r="H562" i="1"/>
  <c r="I562" i="1"/>
  <c r="A563" i="1"/>
  <c r="B563" i="1"/>
  <c r="C563" i="1"/>
  <c r="D563" i="1"/>
  <c r="E563" i="1"/>
  <c r="F563" i="1"/>
  <c r="G563" i="1"/>
  <c r="H563" i="1"/>
  <c r="I563" i="1"/>
  <c r="A564" i="1"/>
  <c r="B564" i="1"/>
  <c r="C564" i="1"/>
  <c r="D564" i="1"/>
  <c r="E564" i="1"/>
  <c r="F564" i="1"/>
  <c r="G564" i="1"/>
  <c r="H564" i="1"/>
  <c r="I564" i="1"/>
  <c r="A565" i="1"/>
  <c r="B565" i="1"/>
  <c r="C565" i="1"/>
  <c r="D565" i="1"/>
  <c r="E565" i="1"/>
  <c r="F565" i="1"/>
  <c r="G565" i="1"/>
  <c r="H565" i="1"/>
  <c r="I565" i="1"/>
  <c r="A566" i="1"/>
  <c r="B566" i="1"/>
  <c r="C566" i="1"/>
  <c r="D566" i="1"/>
  <c r="E566" i="1"/>
  <c r="F566" i="1"/>
  <c r="G566" i="1"/>
  <c r="H566" i="1"/>
  <c r="I566" i="1"/>
  <c r="A567" i="1"/>
  <c r="B567" i="1"/>
  <c r="C567" i="1"/>
  <c r="D567" i="1"/>
  <c r="E567" i="1"/>
  <c r="F567" i="1"/>
  <c r="G567" i="1"/>
  <c r="H567" i="1"/>
  <c r="I567" i="1"/>
  <c r="A568" i="1"/>
  <c r="B568" i="1"/>
  <c r="C568" i="1"/>
  <c r="D568" i="1"/>
  <c r="E568" i="1"/>
  <c r="F568" i="1"/>
  <c r="G568" i="1"/>
  <c r="H568" i="1"/>
  <c r="I568" i="1"/>
  <c r="A569" i="1"/>
  <c r="B569" i="1"/>
  <c r="C569" i="1"/>
  <c r="D569" i="1"/>
  <c r="E569" i="1"/>
  <c r="F569" i="1"/>
  <c r="G569" i="1"/>
  <c r="H569" i="1"/>
  <c r="I569" i="1"/>
  <c r="A570" i="1"/>
  <c r="B570" i="1"/>
  <c r="C570" i="1"/>
  <c r="D570" i="1"/>
  <c r="E570" i="1"/>
  <c r="F570" i="1"/>
  <c r="G570" i="1"/>
  <c r="H570" i="1"/>
  <c r="I570" i="1"/>
  <c r="A571" i="1"/>
  <c r="B571" i="1"/>
  <c r="C571" i="1"/>
  <c r="D571" i="1"/>
  <c r="E571" i="1"/>
  <c r="F571" i="1"/>
  <c r="G571" i="1"/>
  <c r="H571" i="1"/>
  <c r="I571" i="1"/>
  <c r="A572" i="1"/>
  <c r="B572" i="1"/>
  <c r="C572" i="1"/>
  <c r="D572" i="1"/>
  <c r="E572" i="1"/>
  <c r="F572" i="1"/>
  <c r="G572" i="1"/>
  <c r="H572" i="1"/>
  <c r="I572" i="1"/>
  <c r="A573" i="1"/>
  <c r="B573" i="1"/>
  <c r="C573" i="1"/>
  <c r="D573" i="1"/>
  <c r="E573" i="1"/>
  <c r="F573" i="1"/>
  <c r="G573" i="1"/>
  <c r="H573" i="1"/>
  <c r="I573" i="1"/>
  <c r="A574" i="1"/>
  <c r="B574" i="1"/>
  <c r="C574" i="1"/>
  <c r="D574" i="1"/>
  <c r="E574" i="1"/>
  <c r="F574" i="1"/>
  <c r="G574" i="1"/>
  <c r="H574" i="1"/>
  <c r="I574" i="1"/>
  <c r="A575" i="1"/>
  <c r="B575" i="1"/>
  <c r="C575" i="1"/>
  <c r="D575" i="1"/>
  <c r="E575" i="1"/>
  <c r="F575" i="1"/>
  <c r="G575" i="1"/>
  <c r="H575" i="1"/>
  <c r="I575" i="1"/>
  <c r="A576" i="1"/>
  <c r="B576" i="1"/>
  <c r="C576" i="1"/>
  <c r="D576" i="1"/>
  <c r="E576" i="1"/>
  <c r="F576" i="1"/>
  <c r="G576" i="1"/>
  <c r="H576" i="1"/>
  <c r="I576" i="1"/>
  <c r="A577" i="1"/>
  <c r="B577" i="1"/>
  <c r="C577" i="1"/>
  <c r="D577" i="1"/>
  <c r="E577" i="1"/>
  <c r="F577" i="1"/>
  <c r="G577" i="1"/>
  <c r="H577" i="1"/>
  <c r="I577" i="1"/>
  <c r="A578" i="1"/>
  <c r="B578" i="1"/>
  <c r="C578" i="1"/>
  <c r="D578" i="1"/>
  <c r="E578" i="1"/>
  <c r="F578" i="1"/>
  <c r="G578" i="1"/>
  <c r="H578" i="1"/>
  <c r="I578" i="1"/>
  <c r="A579" i="1"/>
  <c r="B579" i="1"/>
  <c r="C579" i="1"/>
  <c r="D579" i="1"/>
  <c r="E579" i="1"/>
  <c r="F579" i="1"/>
  <c r="G579" i="1"/>
  <c r="H579" i="1"/>
  <c r="I579" i="1"/>
  <c r="A580" i="1"/>
  <c r="B580" i="1"/>
  <c r="C580" i="1"/>
  <c r="D580" i="1"/>
  <c r="E580" i="1"/>
  <c r="F580" i="1"/>
  <c r="G580" i="1"/>
  <c r="H580" i="1"/>
  <c r="I580" i="1"/>
  <c r="A581" i="1"/>
  <c r="B581" i="1"/>
  <c r="C581" i="1"/>
  <c r="D581" i="1"/>
  <c r="E581" i="1"/>
  <c r="F581" i="1"/>
  <c r="G581" i="1"/>
  <c r="H581" i="1"/>
  <c r="I581" i="1"/>
  <c r="A582" i="1"/>
  <c r="B582" i="1"/>
  <c r="C582" i="1"/>
  <c r="D582" i="1"/>
  <c r="E582" i="1"/>
  <c r="F582" i="1"/>
  <c r="G582" i="1"/>
  <c r="H582" i="1"/>
  <c r="I582" i="1"/>
  <c r="A583" i="1"/>
  <c r="B583" i="1"/>
  <c r="C583" i="1"/>
  <c r="D583" i="1"/>
  <c r="E583" i="1"/>
  <c r="F583" i="1"/>
  <c r="G583" i="1"/>
  <c r="H583" i="1"/>
  <c r="I583" i="1"/>
  <c r="A584" i="1"/>
  <c r="B584" i="1"/>
  <c r="C584" i="1"/>
  <c r="D584" i="1"/>
  <c r="E584" i="1"/>
  <c r="F584" i="1"/>
  <c r="G584" i="1"/>
  <c r="H584" i="1"/>
  <c r="I584" i="1"/>
  <c r="A585" i="1"/>
  <c r="B585" i="1"/>
  <c r="C585" i="1"/>
  <c r="D585" i="1"/>
  <c r="E585" i="1"/>
  <c r="F585" i="1"/>
  <c r="G585" i="1"/>
  <c r="H585" i="1"/>
  <c r="I585" i="1"/>
  <c r="A586" i="1"/>
  <c r="B586" i="1"/>
  <c r="C586" i="1"/>
  <c r="D586" i="1"/>
  <c r="E586" i="1"/>
  <c r="F586" i="1"/>
  <c r="G586" i="1"/>
  <c r="H586" i="1"/>
  <c r="I586" i="1"/>
  <c r="A587" i="1"/>
  <c r="B587" i="1"/>
  <c r="C587" i="1"/>
  <c r="D587" i="1"/>
  <c r="E587" i="1"/>
  <c r="F587" i="1"/>
  <c r="G587" i="1"/>
  <c r="H587" i="1"/>
  <c r="I587" i="1"/>
  <c r="A588" i="1"/>
  <c r="B588" i="1"/>
  <c r="C588" i="1"/>
  <c r="D588" i="1"/>
  <c r="E588" i="1"/>
  <c r="F588" i="1"/>
  <c r="G588" i="1"/>
  <c r="H588" i="1"/>
  <c r="I588" i="1"/>
  <c r="A589" i="1"/>
  <c r="B589" i="1"/>
  <c r="C589" i="1"/>
  <c r="D589" i="1"/>
  <c r="E589" i="1"/>
  <c r="F589" i="1"/>
  <c r="G589" i="1"/>
  <c r="H589" i="1"/>
  <c r="I589" i="1"/>
  <c r="A590" i="1"/>
  <c r="B590" i="1"/>
  <c r="C590" i="1"/>
  <c r="D590" i="1"/>
  <c r="E590" i="1"/>
  <c r="F590" i="1"/>
  <c r="G590" i="1"/>
  <c r="H590" i="1"/>
  <c r="I590" i="1"/>
  <c r="A591" i="1"/>
  <c r="B591" i="1"/>
  <c r="C591" i="1"/>
  <c r="D591" i="1"/>
  <c r="E591" i="1"/>
  <c r="F591" i="1"/>
  <c r="G591" i="1"/>
  <c r="H591" i="1"/>
  <c r="I591" i="1"/>
  <c r="A592" i="1"/>
  <c r="B592" i="1"/>
  <c r="C592" i="1"/>
  <c r="D592" i="1"/>
  <c r="E592" i="1"/>
  <c r="F592" i="1"/>
  <c r="G592" i="1"/>
  <c r="H592" i="1"/>
  <c r="I592" i="1"/>
  <c r="A593" i="1"/>
  <c r="B593" i="1"/>
  <c r="C593" i="1"/>
  <c r="D593" i="1"/>
  <c r="E593" i="1"/>
  <c r="F593" i="1"/>
  <c r="G593" i="1"/>
  <c r="H593" i="1"/>
  <c r="I593" i="1"/>
  <c r="A594" i="1"/>
  <c r="B594" i="1"/>
  <c r="C594" i="1"/>
  <c r="D594" i="1"/>
  <c r="E594" i="1"/>
  <c r="F594" i="1"/>
  <c r="G594" i="1"/>
  <c r="H594" i="1"/>
  <c r="I594" i="1"/>
  <c r="A595" i="1"/>
  <c r="B595" i="1"/>
  <c r="C595" i="1"/>
  <c r="D595" i="1"/>
  <c r="E595" i="1"/>
  <c r="F595" i="1"/>
  <c r="G595" i="1"/>
  <c r="H595" i="1"/>
  <c r="I595" i="1"/>
  <c r="A596" i="1"/>
  <c r="B596" i="1"/>
  <c r="C596" i="1"/>
  <c r="D596" i="1"/>
  <c r="E596" i="1"/>
  <c r="F596" i="1"/>
  <c r="G596" i="1"/>
  <c r="H596" i="1"/>
  <c r="I596" i="1"/>
  <c r="A597" i="1"/>
  <c r="B597" i="1"/>
  <c r="C597" i="1"/>
  <c r="D597" i="1"/>
  <c r="E597" i="1"/>
  <c r="F597" i="1"/>
  <c r="G597" i="1"/>
  <c r="H597" i="1"/>
  <c r="I597" i="1"/>
  <c r="A598" i="1"/>
  <c r="B598" i="1"/>
  <c r="C598" i="1"/>
  <c r="D598" i="1"/>
  <c r="E598" i="1"/>
  <c r="F598" i="1"/>
  <c r="G598" i="1"/>
  <c r="H598" i="1"/>
  <c r="I598" i="1"/>
  <c r="A599" i="1"/>
  <c r="B599" i="1"/>
  <c r="C599" i="1"/>
  <c r="D599" i="1"/>
  <c r="E599" i="1"/>
  <c r="F599" i="1"/>
  <c r="G599" i="1"/>
  <c r="H599" i="1"/>
  <c r="I599" i="1"/>
  <c r="A600" i="1"/>
  <c r="B600" i="1"/>
  <c r="C600" i="1"/>
  <c r="D600" i="1"/>
  <c r="E600" i="1"/>
  <c r="F600" i="1"/>
  <c r="G600" i="1"/>
  <c r="H600" i="1"/>
  <c r="I600" i="1"/>
  <c r="A601" i="1"/>
  <c r="B601" i="1"/>
  <c r="C601" i="1"/>
  <c r="D601" i="1"/>
  <c r="E601" i="1"/>
  <c r="F601" i="1"/>
  <c r="G601" i="1"/>
  <c r="H601" i="1"/>
  <c r="I601" i="1"/>
  <c r="A602" i="1"/>
  <c r="B602" i="1"/>
  <c r="C602" i="1"/>
  <c r="D602" i="1"/>
  <c r="E602" i="1"/>
  <c r="F602" i="1"/>
  <c r="G602" i="1"/>
  <c r="H602" i="1"/>
  <c r="I602" i="1"/>
  <c r="A603" i="1"/>
  <c r="B603" i="1"/>
  <c r="C603" i="1"/>
  <c r="D603" i="1"/>
  <c r="E603" i="1"/>
  <c r="F603" i="1"/>
  <c r="G603" i="1"/>
  <c r="H603" i="1"/>
  <c r="I603" i="1"/>
  <c r="A604" i="1"/>
  <c r="B604" i="1"/>
  <c r="C604" i="1"/>
  <c r="D604" i="1"/>
  <c r="E604" i="1"/>
  <c r="F604" i="1"/>
  <c r="G604" i="1"/>
  <c r="H604" i="1"/>
  <c r="I604" i="1"/>
  <c r="A605" i="1"/>
  <c r="B605" i="1"/>
  <c r="C605" i="1"/>
  <c r="D605" i="1"/>
  <c r="E605" i="1"/>
  <c r="F605" i="1"/>
  <c r="G605" i="1"/>
  <c r="H605" i="1"/>
  <c r="I605" i="1"/>
  <c r="A606" i="1"/>
  <c r="B606" i="1"/>
  <c r="C606" i="1"/>
  <c r="D606" i="1"/>
  <c r="E606" i="1"/>
  <c r="F606" i="1"/>
  <c r="G606" i="1"/>
  <c r="H606" i="1"/>
  <c r="I606" i="1"/>
  <c r="A607" i="1"/>
  <c r="B607" i="1"/>
  <c r="C607" i="1"/>
  <c r="D607" i="1"/>
  <c r="E607" i="1"/>
  <c r="F607" i="1"/>
  <c r="G607" i="1"/>
  <c r="H607" i="1"/>
  <c r="I607" i="1"/>
  <c r="A608" i="1"/>
  <c r="B608" i="1"/>
  <c r="C608" i="1"/>
  <c r="D608" i="1"/>
  <c r="E608" i="1"/>
  <c r="F608" i="1"/>
  <c r="G608" i="1"/>
  <c r="H608" i="1"/>
  <c r="I608" i="1"/>
  <c r="A609" i="1"/>
  <c r="B609" i="1"/>
  <c r="C609" i="1"/>
  <c r="D609" i="1"/>
  <c r="E609" i="1"/>
  <c r="F609" i="1"/>
  <c r="G609" i="1"/>
  <c r="H609" i="1"/>
  <c r="I609" i="1"/>
  <c r="A610" i="1"/>
  <c r="B610" i="1"/>
  <c r="C610" i="1"/>
  <c r="D610" i="1"/>
  <c r="E610" i="1"/>
  <c r="F610" i="1"/>
  <c r="G610" i="1"/>
  <c r="H610" i="1"/>
  <c r="I610" i="1"/>
  <c r="A611" i="1"/>
  <c r="B611" i="1"/>
  <c r="C611" i="1"/>
  <c r="D611" i="1"/>
  <c r="E611" i="1"/>
  <c r="F611" i="1"/>
  <c r="G611" i="1"/>
  <c r="H611" i="1"/>
  <c r="I611" i="1"/>
  <c r="A612" i="1"/>
  <c r="B612" i="1"/>
  <c r="C612" i="1"/>
  <c r="D612" i="1"/>
  <c r="E612" i="1"/>
  <c r="F612" i="1"/>
  <c r="G612" i="1"/>
  <c r="H612" i="1"/>
  <c r="I612" i="1"/>
  <c r="A613" i="1"/>
  <c r="B613" i="1"/>
  <c r="C613" i="1"/>
  <c r="D613" i="1"/>
  <c r="E613" i="1"/>
  <c r="F613" i="1"/>
  <c r="G613" i="1"/>
  <c r="H613" i="1"/>
  <c r="I613" i="1"/>
  <c r="A614" i="1"/>
  <c r="B614" i="1"/>
  <c r="C614" i="1"/>
  <c r="D614" i="1"/>
  <c r="E614" i="1"/>
  <c r="F614" i="1"/>
  <c r="G614" i="1"/>
  <c r="H614" i="1"/>
  <c r="I614" i="1"/>
  <c r="A615" i="1"/>
  <c r="B615" i="1"/>
  <c r="C615" i="1"/>
  <c r="D615" i="1"/>
  <c r="E615" i="1"/>
  <c r="F615" i="1"/>
  <c r="G615" i="1"/>
  <c r="H615" i="1"/>
  <c r="I615" i="1"/>
  <c r="A616" i="1"/>
  <c r="B616" i="1"/>
  <c r="C616" i="1"/>
  <c r="D616" i="1"/>
  <c r="E616" i="1"/>
  <c r="F616" i="1"/>
  <c r="G616" i="1"/>
  <c r="H616" i="1"/>
  <c r="I616" i="1"/>
  <c r="A617" i="1"/>
  <c r="B617" i="1"/>
  <c r="C617" i="1"/>
  <c r="D617" i="1"/>
  <c r="E617" i="1"/>
  <c r="F617" i="1"/>
  <c r="G617" i="1"/>
  <c r="H617" i="1"/>
  <c r="I617" i="1"/>
  <c r="A618" i="1"/>
  <c r="B618" i="1"/>
  <c r="C618" i="1"/>
  <c r="D618" i="1"/>
  <c r="E618" i="1"/>
  <c r="F618" i="1"/>
  <c r="G618" i="1"/>
  <c r="H618" i="1"/>
  <c r="I618" i="1"/>
  <c r="A619" i="1"/>
  <c r="B619" i="1"/>
  <c r="C619" i="1"/>
  <c r="D619" i="1"/>
  <c r="E619" i="1"/>
  <c r="F619" i="1"/>
  <c r="G619" i="1"/>
  <c r="H619" i="1"/>
  <c r="I619" i="1"/>
  <c r="A620" i="1"/>
  <c r="B620" i="1"/>
  <c r="C620" i="1"/>
  <c r="D620" i="1"/>
  <c r="E620" i="1"/>
  <c r="F620" i="1"/>
  <c r="G620" i="1"/>
  <c r="H620" i="1"/>
  <c r="I620" i="1"/>
  <c r="A621" i="1"/>
  <c r="B621" i="1"/>
  <c r="C621" i="1"/>
  <c r="D621" i="1"/>
  <c r="E621" i="1"/>
  <c r="F621" i="1"/>
  <c r="G621" i="1"/>
  <c r="H621" i="1"/>
  <c r="I621" i="1"/>
  <c r="A622" i="1"/>
  <c r="B622" i="1"/>
  <c r="C622" i="1"/>
  <c r="D622" i="1"/>
  <c r="E622" i="1"/>
  <c r="F622" i="1"/>
  <c r="G622" i="1"/>
  <c r="H622" i="1"/>
  <c r="I622" i="1"/>
  <c r="A623" i="1"/>
  <c r="B623" i="1"/>
  <c r="C623" i="1"/>
  <c r="D623" i="1"/>
  <c r="E623" i="1"/>
  <c r="F623" i="1"/>
  <c r="G623" i="1"/>
  <c r="H623" i="1"/>
  <c r="I623" i="1"/>
  <c r="A624" i="1"/>
  <c r="B624" i="1"/>
  <c r="C624" i="1"/>
  <c r="D624" i="1"/>
  <c r="E624" i="1"/>
  <c r="F624" i="1"/>
  <c r="G624" i="1"/>
  <c r="H624" i="1"/>
  <c r="I624" i="1"/>
  <c r="A625" i="1"/>
  <c r="B625" i="1"/>
  <c r="C625" i="1"/>
  <c r="D625" i="1"/>
  <c r="E625" i="1"/>
  <c r="F625" i="1"/>
  <c r="G625" i="1"/>
  <c r="H625" i="1"/>
  <c r="I625" i="1"/>
  <c r="A626" i="1"/>
  <c r="B626" i="1"/>
  <c r="C626" i="1"/>
  <c r="D626" i="1"/>
  <c r="E626" i="1"/>
  <c r="F626" i="1"/>
  <c r="G626" i="1"/>
  <c r="H626" i="1"/>
  <c r="I626" i="1"/>
  <c r="A627" i="1"/>
  <c r="B627" i="1"/>
  <c r="C627" i="1"/>
  <c r="D627" i="1"/>
  <c r="E627" i="1"/>
  <c r="F627" i="1"/>
  <c r="G627" i="1"/>
  <c r="H627" i="1"/>
  <c r="I627" i="1"/>
  <c r="A628" i="1"/>
  <c r="B628" i="1"/>
  <c r="C628" i="1"/>
  <c r="D628" i="1"/>
  <c r="E628" i="1"/>
  <c r="F628" i="1"/>
  <c r="G628" i="1"/>
  <c r="H628" i="1"/>
  <c r="I628" i="1"/>
  <c r="A629" i="1"/>
  <c r="B629" i="1"/>
  <c r="C629" i="1"/>
  <c r="D629" i="1"/>
  <c r="E629" i="1"/>
  <c r="F629" i="1"/>
  <c r="G629" i="1"/>
  <c r="H629" i="1"/>
  <c r="I629" i="1"/>
  <c r="A630" i="1"/>
  <c r="B630" i="1"/>
  <c r="C630" i="1"/>
  <c r="D630" i="1"/>
  <c r="E630" i="1"/>
  <c r="F630" i="1"/>
  <c r="G630" i="1"/>
  <c r="H630" i="1"/>
  <c r="I630" i="1"/>
  <c r="A631" i="1"/>
  <c r="B631" i="1"/>
  <c r="C631" i="1"/>
  <c r="D631" i="1"/>
  <c r="E631" i="1"/>
  <c r="F631" i="1"/>
  <c r="G631" i="1"/>
  <c r="H631" i="1"/>
  <c r="I631" i="1"/>
  <c r="A632" i="1"/>
  <c r="B632" i="1"/>
  <c r="C632" i="1"/>
  <c r="D632" i="1"/>
  <c r="E632" i="1"/>
  <c r="F632" i="1"/>
  <c r="G632" i="1"/>
  <c r="H632" i="1"/>
  <c r="I632" i="1"/>
  <c r="A633" i="1"/>
  <c r="B633" i="1"/>
  <c r="C633" i="1"/>
  <c r="D633" i="1"/>
  <c r="E633" i="1"/>
  <c r="F633" i="1"/>
  <c r="G633" i="1"/>
  <c r="H633" i="1"/>
  <c r="I633" i="1"/>
  <c r="A634" i="1"/>
  <c r="B634" i="1"/>
  <c r="C634" i="1"/>
  <c r="D634" i="1"/>
  <c r="E634" i="1"/>
  <c r="F634" i="1"/>
  <c r="G634" i="1"/>
  <c r="H634" i="1"/>
  <c r="I634" i="1"/>
  <c r="A635" i="1"/>
  <c r="B635" i="1"/>
  <c r="C635" i="1"/>
  <c r="D635" i="1"/>
  <c r="E635" i="1"/>
  <c r="F635" i="1"/>
  <c r="G635" i="1"/>
  <c r="H635" i="1"/>
  <c r="I635" i="1"/>
  <c r="A636" i="1"/>
  <c r="B636" i="1"/>
  <c r="C636" i="1"/>
  <c r="D636" i="1"/>
  <c r="E636" i="1"/>
  <c r="F636" i="1"/>
  <c r="G636" i="1"/>
  <c r="H636" i="1"/>
  <c r="I636" i="1"/>
  <c r="A637" i="1"/>
  <c r="B637" i="1"/>
  <c r="C637" i="1"/>
  <c r="D637" i="1"/>
  <c r="E637" i="1"/>
  <c r="F637" i="1"/>
  <c r="G637" i="1"/>
  <c r="H637" i="1"/>
  <c r="I637" i="1"/>
  <c r="A638" i="1"/>
  <c r="B638" i="1"/>
  <c r="C638" i="1"/>
  <c r="D638" i="1"/>
  <c r="E638" i="1"/>
  <c r="F638" i="1"/>
  <c r="G638" i="1"/>
  <c r="H638" i="1"/>
  <c r="I638" i="1"/>
  <c r="A639" i="1"/>
  <c r="B639" i="1"/>
  <c r="C639" i="1"/>
  <c r="D639" i="1"/>
  <c r="E639" i="1"/>
  <c r="F639" i="1"/>
  <c r="G639" i="1"/>
  <c r="H639" i="1"/>
  <c r="I639" i="1"/>
  <c r="A640" i="1"/>
  <c r="B640" i="1"/>
  <c r="C640" i="1"/>
  <c r="D640" i="1"/>
  <c r="E640" i="1"/>
  <c r="F640" i="1"/>
  <c r="G640" i="1"/>
  <c r="H640" i="1"/>
  <c r="I640" i="1"/>
  <c r="A641" i="1"/>
  <c r="B641" i="1"/>
  <c r="C641" i="1"/>
  <c r="D641" i="1"/>
  <c r="E641" i="1"/>
  <c r="F641" i="1"/>
  <c r="G641" i="1"/>
  <c r="H641" i="1"/>
  <c r="I641" i="1"/>
  <c r="A642" i="1"/>
  <c r="B642" i="1"/>
  <c r="C642" i="1"/>
  <c r="D642" i="1"/>
  <c r="E642" i="1"/>
  <c r="F642" i="1"/>
  <c r="G642" i="1"/>
  <c r="H642" i="1"/>
  <c r="I642" i="1"/>
  <c r="A643" i="1"/>
  <c r="B643" i="1"/>
  <c r="C643" i="1"/>
  <c r="D643" i="1"/>
  <c r="E643" i="1"/>
  <c r="F643" i="1"/>
  <c r="G643" i="1"/>
  <c r="H643" i="1"/>
  <c r="I643" i="1"/>
  <c r="A644" i="1"/>
  <c r="B644" i="1"/>
  <c r="C644" i="1"/>
  <c r="D644" i="1"/>
  <c r="E644" i="1"/>
  <c r="F644" i="1"/>
  <c r="G644" i="1"/>
  <c r="H644" i="1"/>
  <c r="I644" i="1"/>
  <c r="A645" i="1"/>
  <c r="B645" i="1"/>
  <c r="C645" i="1"/>
  <c r="D645" i="1"/>
  <c r="E645" i="1"/>
  <c r="F645" i="1"/>
  <c r="G645" i="1"/>
  <c r="H645" i="1"/>
  <c r="I645" i="1"/>
  <c r="A646" i="1"/>
  <c r="B646" i="1"/>
  <c r="C646" i="1"/>
  <c r="D646" i="1"/>
  <c r="E646" i="1"/>
  <c r="F646" i="1"/>
  <c r="G646" i="1"/>
  <c r="H646" i="1"/>
  <c r="I646" i="1"/>
  <c r="A647" i="1"/>
  <c r="B647" i="1"/>
  <c r="C647" i="1"/>
  <c r="D647" i="1"/>
  <c r="E647" i="1"/>
  <c r="F647" i="1"/>
  <c r="G647" i="1"/>
  <c r="H647" i="1"/>
  <c r="I647" i="1"/>
  <c r="A648" i="1"/>
  <c r="B648" i="1"/>
  <c r="C648" i="1"/>
  <c r="D648" i="1"/>
  <c r="E648" i="1"/>
  <c r="F648" i="1"/>
  <c r="G648" i="1"/>
  <c r="H648" i="1"/>
  <c r="I648" i="1"/>
  <c r="A649" i="1"/>
  <c r="B649" i="1"/>
  <c r="C649" i="1"/>
  <c r="D649" i="1"/>
  <c r="E649" i="1"/>
  <c r="F649" i="1"/>
  <c r="G649" i="1"/>
  <c r="H649" i="1"/>
  <c r="I649" i="1"/>
  <c r="A650" i="1"/>
  <c r="B650" i="1"/>
  <c r="C650" i="1"/>
  <c r="D650" i="1"/>
  <c r="E650" i="1"/>
  <c r="F650" i="1"/>
  <c r="G650" i="1"/>
  <c r="H650" i="1"/>
  <c r="I650" i="1"/>
  <c r="A651" i="1"/>
  <c r="B651" i="1"/>
  <c r="C651" i="1"/>
  <c r="D651" i="1"/>
  <c r="E651" i="1"/>
  <c r="F651" i="1"/>
  <c r="G651" i="1"/>
  <c r="H651" i="1"/>
  <c r="I651" i="1"/>
  <c r="A652" i="1"/>
  <c r="B652" i="1"/>
  <c r="C652" i="1"/>
  <c r="D652" i="1"/>
  <c r="E652" i="1"/>
  <c r="F652" i="1"/>
  <c r="G652" i="1"/>
  <c r="H652" i="1"/>
  <c r="I652" i="1"/>
  <c r="A653" i="1"/>
  <c r="B653" i="1"/>
  <c r="C653" i="1"/>
  <c r="D653" i="1"/>
  <c r="E653" i="1"/>
  <c r="F653" i="1"/>
  <c r="G653" i="1"/>
  <c r="H653" i="1"/>
  <c r="I653" i="1"/>
  <c r="A654" i="1"/>
  <c r="B654" i="1"/>
  <c r="C654" i="1"/>
  <c r="D654" i="1"/>
  <c r="E654" i="1"/>
  <c r="F654" i="1"/>
  <c r="G654" i="1"/>
  <c r="H654" i="1"/>
  <c r="I654" i="1"/>
  <c r="A655" i="1"/>
  <c r="B655" i="1"/>
  <c r="C655" i="1"/>
  <c r="D655" i="1"/>
  <c r="E655" i="1"/>
  <c r="F655" i="1"/>
  <c r="G655" i="1"/>
  <c r="H655" i="1"/>
  <c r="I655" i="1"/>
  <c r="A656" i="1"/>
  <c r="B656" i="1"/>
  <c r="C656" i="1"/>
  <c r="D656" i="1"/>
  <c r="E656" i="1"/>
  <c r="F656" i="1"/>
  <c r="G656" i="1"/>
  <c r="H656" i="1"/>
  <c r="I656" i="1"/>
  <c r="A657" i="1"/>
  <c r="B657" i="1"/>
  <c r="C657" i="1"/>
  <c r="D657" i="1"/>
  <c r="E657" i="1"/>
  <c r="F657" i="1"/>
  <c r="G657" i="1"/>
  <c r="H657" i="1"/>
  <c r="I657" i="1"/>
  <c r="A658" i="1"/>
  <c r="B658" i="1"/>
  <c r="C658" i="1"/>
  <c r="D658" i="1"/>
  <c r="E658" i="1"/>
  <c r="F658" i="1"/>
  <c r="G658" i="1"/>
  <c r="H658" i="1"/>
  <c r="I658" i="1"/>
  <c r="A659" i="1"/>
  <c r="B659" i="1"/>
  <c r="C659" i="1"/>
  <c r="D659" i="1"/>
  <c r="E659" i="1"/>
  <c r="F659" i="1"/>
  <c r="G659" i="1"/>
  <c r="H659" i="1"/>
  <c r="I659" i="1"/>
  <c r="A660" i="1"/>
  <c r="B660" i="1"/>
  <c r="C660" i="1"/>
  <c r="D660" i="1"/>
  <c r="E660" i="1"/>
  <c r="F660" i="1"/>
  <c r="G660" i="1"/>
  <c r="H660" i="1"/>
  <c r="I660" i="1"/>
  <c r="A661" i="1"/>
  <c r="B661" i="1"/>
  <c r="C661" i="1"/>
  <c r="D661" i="1"/>
  <c r="E661" i="1"/>
  <c r="F661" i="1"/>
  <c r="G661" i="1"/>
  <c r="H661" i="1"/>
  <c r="I661" i="1"/>
  <c r="A662" i="1"/>
  <c r="B662" i="1"/>
  <c r="C662" i="1"/>
  <c r="D662" i="1"/>
  <c r="E662" i="1"/>
  <c r="F662" i="1"/>
  <c r="G662" i="1"/>
  <c r="H662" i="1"/>
  <c r="I662" i="1"/>
  <c r="A663" i="1"/>
  <c r="B663" i="1"/>
  <c r="C663" i="1"/>
  <c r="D663" i="1"/>
  <c r="E663" i="1"/>
  <c r="F663" i="1"/>
  <c r="G663" i="1"/>
  <c r="H663" i="1"/>
  <c r="I663" i="1"/>
  <c r="A664" i="1"/>
  <c r="B664" i="1"/>
  <c r="C664" i="1"/>
  <c r="D664" i="1"/>
  <c r="E664" i="1"/>
  <c r="F664" i="1"/>
  <c r="G664" i="1"/>
  <c r="H664" i="1"/>
  <c r="I664" i="1"/>
  <c r="A665" i="1"/>
  <c r="B665" i="1"/>
  <c r="C665" i="1"/>
  <c r="D665" i="1"/>
  <c r="E665" i="1"/>
  <c r="F665" i="1"/>
  <c r="G665" i="1"/>
  <c r="H665" i="1"/>
  <c r="I665" i="1"/>
  <c r="A666" i="1"/>
  <c r="B666" i="1"/>
  <c r="C666" i="1"/>
  <c r="D666" i="1"/>
  <c r="E666" i="1"/>
  <c r="F666" i="1"/>
  <c r="G666" i="1"/>
  <c r="H666" i="1"/>
  <c r="I666" i="1"/>
  <c r="A667" i="1"/>
  <c r="B667" i="1"/>
  <c r="C667" i="1"/>
  <c r="D667" i="1"/>
  <c r="E667" i="1"/>
  <c r="F667" i="1"/>
  <c r="G667" i="1"/>
  <c r="H667" i="1"/>
  <c r="I667" i="1"/>
  <c r="A668" i="1"/>
  <c r="B668" i="1"/>
  <c r="C668" i="1"/>
  <c r="D668" i="1"/>
  <c r="E668" i="1"/>
  <c r="F668" i="1"/>
  <c r="G668" i="1"/>
  <c r="H668" i="1"/>
  <c r="I668" i="1"/>
  <c r="A669" i="1"/>
  <c r="B669" i="1"/>
  <c r="C669" i="1"/>
  <c r="D669" i="1"/>
  <c r="E669" i="1"/>
  <c r="F669" i="1"/>
  <c r="G669" i="1"/>
  <c r="H669" i="1"/>
  <c r="I669" i="1"/>
  <c r="A670" i="1"/>
  <c r="B670" i="1"/>
  <c r="C670" i="1"/>
  <c r="D670" i="1"/>
  <c r="E670" i="1"/>
  <c r="F670" i="1"/>
  <c r="G670" i="1"/>
  <c r="H670" i="1"/>
  <c r="I670" i="1"/>
  <c r="A671" i="1"/>
  <c r="B671" i="1"/>
  <c r="C671" i="1"/>
  <c r="D671" i="1"/>
  <c r="E671" i="1"/>
  <c r="F671" i="1"/>
  <c r="G671" i="1"/>
  <c r="H671" i="1"/>
  <c r="I671" i="1"/>
  <c r="A672" i="1"/>
  <c r="B672" i="1"/>
  <c r="C672" i="1"/>
  <c r="D672" i="1"/>
  <c r="E672" i="1"/>
  <c r="F672" i="1"/>
  <c r="G672" i="1"/>
  <c r="H672" i="1"/>
  <c r="I672" i="1"/>
  <c r="A673" i="1"/>
  <c r="B673" i="1"/>
  <c r="C673" i="1"/>
  <c r="D673" i="1"/>
  <c r="E673" i="1"/>
  <c r="F673" i="1"/>
  <c r="G673" i="1"/>
  <c r="H673" i="1"/>
  <c r="I673" i="1"/>
  <c r="A674" i="1"/>
  <c r="B674" i="1"/>
  <c r="C674" i="1"/>
  <c r="D674" i="1"/>
  <c r="E674" i="1"/>
  <c r="F674" i="1"/>
  <c r="G674" i="1"/>
  <c r="H674" i="1"/>
  <c r="I674" i="1"/>
  <c r="A675" i="1"/>
  <c r="B675" i="1"/>
  <c r="C675" i="1"/>
  <c r="D675" i="1"/>
  <c r="E675" i="1"/>
  <c r="F675" i="1"/>
  <c r="G675" i="1"/>
  <c r="H675" i="1"/>
  <c r="I675" i="1"/>
  <c r="A676" i="1"/>
  <c r="B676" i="1"/>
  <c r="C676" i="1"/>
  <c r="D676" i="1"/>
  <c r="E676" i="1"/>
  <c r="F676" i="1"/>
  <c r="G676" i="1"/>
  <c r="H676" i="1"/>
  <c r="I676" i="1"/>
  <c r="A677" i="1"/>
  <c r="B677" i="1"/>
  <c r="C677" i="1"/>
  <c r="D677" i="1"/>
  <c r="E677" i="1"/>
  <c r="F677" i="1"/>
  <c r="G677" i="1"/>
  <c r="H677" i="1"/>
  <c r="I677" i="1"/>
  <c r="A678" i="1"/>
  <c r="B678" i="1"/>
  <c r="C678" i="1"/>
  <c r="D678" i="1"/>
  <c r="E678" i="1"/>
  <c r="F678" i="1"/>
  <c r="G678" i="1"/>
  <c r="H678" i="1"/>
  <c r="I678" i="1"/>
  <c r="A679" i="1"/>
  <c r="B679" i="1"/>
  <c r="C679" i="1"/>
  <c r="D679" i="1"/>
  <c r="E679" i="1"/>
  <c r="F679" i="1"/>
  <c r="G679" i="1"/>
  <c r="H679" i="1"/>
  <c r="I679" i="1"/>
  <c r="A680" i="1"/>
  <c r="B680" i="1"/>
  <c r="C680" i="1"/>
  <c r="D680" i="1"/>
  <c r="E680" i="1"/>
  <c r="F680" i="1"/>
  <c r="G680" i="1"/>
  <c r="H680" i="1"/>
  <c r="I680" i="1"/>
  <c r="A681" i="1"/>
  <c r="B681" i="1"/>
  <c r="C681" i="1"/>
  <c r="D681" i="1"/>
  <c r="E681" i="1"/>
  <c r="F681" i="1"/>
  <c r="G681" i="1"/>
  <c r="H681" i="1"/>
  <c r="I681" i="1"/>
  <c r="A682" i="1"/>
  <c r="B682" i="1"/>
  <c r="C682" i="1"/>
  <c r="D682" i="1"/>
  <c r="E682" i="1"/>
  <c r="F682" i="1"/>
  <c r="G682" i="1"/>
  <c r="H682" i="1"/>
  <c r="I682" i="1"/>
  <c r="A683" i="1"/>
  <c r="B683" i="1"/>
  <c r="C683" i="1"/>
  <c r="D683" i="1"/>
  <c r="E683" i="1"/>
  <c r="F683" i="1"/>
  <c r="G683" i="1"/>
  <c r="H683" i="1"/>
  <c r="I683" i="1"/>
  <c r="A684" i="1"/>
  <c r="B684" i="1"/>
  <c r="C684" i="1"/>
  <c r="D684" i="1"/>
  <c r="E684" i="1"/>
  <c r="F684" i="1"/>
  <c r="G684" i="1"/>
  <c r="H684" i="1"/>
  <c r="I684" i="1"/>
  <c r="A685" i="1"/>
  <c r="B685" i="1"/>
  <c r="C685" i="1"/>
  <c r="D685" i="1"/>
  <c r="E685" i="1"/>
  <c r="F685" i="1"/>
  <c r="G685" i="1"/>
  <c r="H685" i="1"/>
  <c r="I685" i="1"/>
  <c r="A686" i="1"/>
  <c r="B686" i="1"/>
  <c r="C686" i="1"/>
  <c r="D686" i="1"/>
  <c r="E686" i="1"/>
  <c r="F686" i="1"/>
  <c r="G686" i="1"/>
  <c r="H686" i="1"/>
  <c r="I686" i="1"/>
  <c r="A687" i="1"/>
  <c r="B687" i="1"/>
  <c r="C687" i="1"/>
  <c r="D687" i="1"/>
  <c r="E687" i="1"/>
  <c r="F687" i="1"/>
  <c r="G687" i="1"/>
  <c r="H687" i="1"/>
  <c r="I687" i="1"/>
  <c r="A688" i="1"/>
  <c r="B688" i="1"/>
  <c r="C688" i="1"/>
  <c r="D688" i="1"/>
  <c r="E688" i="1"/>
  <c r="F688" i="1"/>
  <c r="G688" i="1"/>
  <c r="H688" i="1"/>
  <c r="I688" i="1"/>
  <c r="A689" i="1"/>
  <c r="B689" i="1"/>
  <c r="C689" i="1"/>
  <c r="D689" i="1"/>
  <c r="E689" i="1"/>
  <c r="F689" i="1"/>
  <c r="G689" i="1"/>
  <c r="H689" i="1"/>
  <c r="I689" i="1"/>
  <c r="A690" i="1"/>
  <c r="B690" i="1"/>
  <c r="C690" i="1"/>
  <c r="D690" i="1"/>
  <c r="E690" i="1"/>
  <c r="F690" i="1"/>
  <c r="G690" i="1"/>
  <c r="H690" i="1"/>
  <c r="I690" i="1"/>
  <c r="A691" i="1"/>
  <c r="B691" i="1"/>
  <c r="C691" i="1"/>
  <c r="D691" i="1"/>
  <c r="E691" i="1"/>
  <c r="F691" i="1"/>
  <c r="G691" i="1"/>
  <c r="H691" i="1"/>
  <c r="I691" i="1"/>
  <c r="A692" i="1"/>
  <c r="B692" i="1"/>
  <c r="C692" i="1"/>
  <c r="D692" i="1"/>
  <c r="E692" i="1"/>
  <c r="F692" i="1"/>
  <c r="G692" i="1"/>
  <c r="H692" i="1"/>
  <c r="I692" i="1"/>
  <c r="A693" i="1"/>
  <c r="B693" i="1"/>
  <c r="C693" i="1"/>
  <c r="D693" i="1"/>
  <c r="E693" i="1"/>
  <c r="F693" i="1"/>
  <c r="G693" i="1"/>
  <c r="H693" i="1"/>
  <c r="I693" i="1"/>
  <c r="A694" i="1"/>
  <c r="B694" i="1"/>
  <c r="C694" i="1"/>
  <c r="D694" i="1"/>
  <c r="E694" i="1"/>
  <c r="F694" i="1"/>
  <c r="G694" i="1"/>
  <c r="H694" i="1"/>
  <c r="I694" i="1"/>
  <c r="A695" i="1"/>
  <c r="B695" i="1"/>
  <c r="C695" i="1"/>
  <c r="D695" i="1"/>
  <c r="E695" i="1"/>
  <c r="F695" i="1"/>
  <c r="G695" i="1"/>
  <c r="H695" i="1"/>
  <c r="I695" i="1"/>
  <c r="A696" i="1"/>
  <c r="B696" i="1"/>
  <c r="C696" i="1"/>
  <c r="D696" i="1"/>
  <c r="E696" i="1"/>
  <c r="F696" i="1"/>
  <c r="G696" i="1"/>
  <c r="H696" i="1"/>
  <c r="I696" i="1"/>
  <c r="A697" i="1"/>
  <c r="B697" i="1"/>
  <c r="C697" i="1"/>
  <c r="D697" i="1"/>
  <c r="E697" i="1"/>
  <c r="F697" i="1"/>
  <c r="G697" i="1"/>
  <c r="H697" i="1"/>
  <c r="I697" i="1"/>
  <c r="A698" i="1"/>
  <c r="B698" i="1"/>
  <c r="C698" i="1"/>
  <c r="D698" i="1"/>
  <c r="E698" i="1"/>
  <c r="F698" i="1"/>
  <c r="G698" i="1"/>
  <c r="H698" i="1"/>
  <c r="I698" i="1"/>
  <c r="A699" i="1"/>
  <c r="B699" i="1"/>
  <c r="C699" i="1"/>
  <c r="D699" i="1"/>
  <c r="E699" i="1"/>
  <c r="F699" i="1"/>
  <c r="G699" i="1"/>
  <c r="H699" i="1"/>
  <c r="I699" i="1"/>
  <c r="A700" i="1"/>
  <c r="B700" i="1"/>
  <c r="C700" i="1"/>
  <c r="D700" i="1"/>
  <c r="E700" i="1"/>
  <c r="F700" i="1"/>
  <c r="G700" i="1"/>
  <c r="H700" i="1"/>
  <c r="I700" i="1"/>
  <c r="A701" i="1"/>
  <c r="B701" i="1"/>
  <c r="C701" i="1"/>
  <c r="D701" i="1"/>
  <c r="E701" i="1"/>
  <c r="F701" i="1"/>
  <c r="G701" i="1"/>
  <c r="H701" i="1"/>
  <c r="I701" i="1"/>
  <c r="A702" i="1"/>
  <c r="B702" i="1"/>
  <c r="C702" i="1"/>
  <c r="D702" i="1"/>
  <c r="E702" i="1"/>
  <c r="F702" i="1"/>
  <c r="G702" i="1"/>
  <c r="H702" i="1"/>
  <c r="I702" i="1"/>
  <c r="A703" i="1"/>
  <c r="B703" i="1"/>
  <c r="C703" i="1"/>
  <c r="D703" i="1"/>
  <c r="E703" i="1"/>
  <c r="F703" i="1"/>
  <c r="G703" i="1"/>
  <c r="H703" i="1"/>
  <c r="I703" i="1"/>
  <c r="A704" i="1"/>
  <c r="B704" i="1"/>
  <c r="C704" i="1"/>
  <c r="D704" i="1"/>
  <c r="E704" i="1"/>
  <c r="F704" i="1"/>
  <c r="G704" i="1"/>
  <c r="H704" i="1"/>
  <c r="I704" i="1"/>
  <c r="A705" i="1"/>
  <c r="B705" i="1"/>
  <c r="C705" i="1"/>
  <c r="D705" i="1"/>
  <c r="E705" i="1"/>
  <c r="F705" i="1"/>
  <c r="G705" i="1"/>
  <c r="H705" i="1"/>
  <c r="I705" i="1"/>
  <c r="A706" i="1"/>
  <c r="B706" i="1"/>
  <c r="C706" i="1"/>
  <c r="D706" i="1"/>
  <c r="E706" i="1"/>
  <c r="F706" i="1"/>
  <c r="G706" i="1"/>
  <c r="H706" i="1"/>
  <c r="I706" i="1"/>
  <c r="A707" i="1"/>
  <c r="B707" i="1"/>
  <c r="C707" i="1"/>
  <c r="D707" i="1"/>
  <c r="E707" i="1"/>
  <c r="F707" i="1"/>
  <c r="G707" i="1"/>
  <c r="H707" i="1"/>
  <c r="I707" i="1"/>
  <c r="A708" i="1"/>
  <c r="B708" i="1"/>
  <c r="C708" i="1"/>
  <c r="D708" i="1"/>
  <c r="E708" i="1"/>
  <c r="F708" i="1"/>
  <c r="G708" i="1"/>
  <c r="H708" i="1"/>
  <c r="I708" i="1"/>
  <c r="A709" i="1"/>
  <c r="B709" i="1"/>
  <c r="C709" i="1"/>
  <c r="D709" i="1"/>
  <c r="E709" i="1"/>
  <c r="F709" i="1"/>
  <c r="G709" i="1"/>
  <c r="H709" i="1"/>
  <c r="I709" i="1"/>
  <c r="A710" i="1"/>
  <c r="B710" i="1"/>
  <c r="C710" i="1"/>
  <c r="D710" i="1"/>
  <c r="E710" i="1"/>
  <c r="F710" i="1"/>
  <c r="G710" i="1"/>
  <c r="H710" i="1"/>
  <c r="I710" i="1"/>
  <c r="A711" i="1"/>
  <c r="B711" i="1"/>
  <c r="C711" i="1"/>
  <c r="D711" i="1"/>
  <c r="E711" i="1"/>
  <c r="F711" i="1"/>
  <c r="G711" i="1"/>
  <c r="H711" i="1"/>
  <c r="I711" i="1"/>
  <c r="A712" i="1"/>
  <c r="B712" i="1"/>
  <c r="C712" i="1"/>
  <c r="D712" i="1"/>
  <c r="E712" i="1"/>
  <c r="F712" i="1"/>
  <c r="G712" i="1"/>
  <c r="H712" i="1"/>
  <c r="I712" i="1"/>
  <c r="A713" i="1"/>
  <c r="B713" i="1"/>
  <c r="C713" i="1"/>
  <c r="D713" i="1"/>
  <c r="E713" i="1"/>
  <c r="F713" i="1"/>
  <c r="G713" i="1"/>
  <c r="H713" i="1"/>
  <c r="I713" i="1"/>
  <c r="A714" i="1"/>
  <c r="B714" i="1"/>
  <c r="C714" i="1"/>
  <c r="D714" i="1"/>
  <c r="E714" i="1"/>
  <c r="F714" i="1"/>
  <c r="G714" i="1"/>
  <c r="H714" i="1"/>
  <c r="I714" i="1"/>
  <c r="A715" i="1"/>
  <c r="B715" i="1"/>
  <c r="C715" i="1"/>
  <c r="D715" i="1"/>
  <c r="E715" i="1"/>
  <c r="F715" i="1"/>
  <c r="G715" i="1"/>
  <c r="H715" i="1"/>
  <c r="I715" i="1"/>
  <c r="A716" i="1"/>
  <c r="B716" i="1"/>
  <c r="C716" i="1"/>
  <c r="D716" i="1"/>
  <c r="E716" i="1"/>
  <c r="F716" i="1"/>
  <c r="G716" i="1"/>
  <c r="H716" i="1"/>
  <c r="I716" i="1"/>
  <c r="A717" i="1"/>
  <c r="B717" i="1"/>
  <c r="C717" i="1"/>
  <c r="D717" i="1"/>
  <c r="E717" i="1"/>
  <c r="F717" i="1"/>
  <c r="G717" i="1"/>
  <c r="H717" i="1"/>
  <c r="I717" i="1"/>
  <c r="A718" i="1"/>
  <c r="B718" i="1"/>
  <c r="C718" i="1"/>
  <c r="D718" i="1"/>
  <c r="E718" i="1"/>
  <c r="F718" i="1"/>
  <c r="G718" i="1"/>
  <c r="H718" i="1"/>
  <c r="I718" i="1"/>
  <c r="A719" i="1"/>
  <c r="B719" i="1"/>
  <c r="C719" i="1"/>
  <c r="D719" i="1"/>
  <c r="E719" i="1"/>
  <c r="F719" i="1"/>
  <c r="G719" i="1"/>
  <c r="H719" i="1"/>
  <c r="I719" i="1"/>
  <c r="A720" i="1"/>
  <c r="B720" i="1"/>
  <c r="C720" i="1"/>
  <c r="D720" i="1"/>
  <c r="E720" i="1"/>
  <c r="F720" i="1"/>
  <c r="G720" i="1"/>
  <c r="H720" i="1"/>
  <c r="I720" i="1"/>
  <c r="A721" i="1"/>
  <c r="B721" i="1"/>
  <c r="C721" i="1"/>
  <c r="D721" i="1"/>
  <c r="E721" i="1"/>
  <c r="F721" i="1"/>
  <c r="G721" i="1"/>
  <c r="H721" i="1"/>
  <c r="I721" i="1"/>
  <c r="A722" i="1"/>
  <c r="B722" i="1"/>
  <c r="C722" i="1"/>
  <c r="D722" i="1"/>
  <c r="E722" i="1"/>
  <c r="F722" i="1"/>
  <c r="G722" i="1"/>
  <c r="H722" i="1"/>
  <c r="I722" i="1"/>
  <c r="A723" i="1"/>
  <c r="B723" i="1"/>
  <c r="C723" i="1"/>
  <c r="D723" i="1"/>
  <c r="E723" i="1"/>
  <c r="F723" i="1"/>
  <c r="G723" i="1"/>
  <c r="H723" i="1"/>
  <c r="I723" i="1"/>
  <c r="A724" i="1"/>
  <c r="B724" i="1"/>
  <c r="C724" i="1"/>
  <c r="D724" i="1"/>
  <c r="E724" i="1"/>
  <c r="F724" i="1"/>
  <c r="G724" i="1"/>
  <c r="H724" i="1"/>
  <c r="I724" i="1"/>
  <c r="A725" i="1"/>
  <c r="B725" i="1"/>
  <c r="C725" i="1"/>
  <c r="D725" i="1"/>
  <c r="E725" i="1"/>
  <c r="F725" i="1"/>
  <c r="G725" i="1"/>
  <c r="H725" i="1"/>
  <c r="I725" i="1"/>
  <c r="A726" i="1"/>
  <c r="B726" i="1"/>
  <c r="C726" i="1"/>
  <c r="D726" i="1"/>
  <c r="E726" i="1"/>
  <c r="F726" i="1"/>
  <c r="G726" i="1"/>
  <c r="H726" i="1"/>
  <c r="I726" i="1"/>
  <c r="A727" i="1"/>
  <c r="B727" i="1"/>
  <c r="C727" i="1"/>
  <c r="D727" i="1"/>
  <c r="E727" i="1"/>
  <c r="F727" i="1"/>
  <c r="G727" i="1"/>
  <c r="H727" i="1"/>
  <c r="I727" i="1"/>
  <c r="A728" i="1"/>
  <c r="B728" i="1"/>
  <c r="C728" i="1"/>
  <c r="D728" i="1"/>
  <c r="E728" i="1"/>
  <c r="F728" i="1"/>
  <c r="G728" i="1"/>
  <c r="H728" i="1"/>
  <c r="I728" i="1"/>
  <c r="A729" i="1"/>
  <c r="B729" i="1"/>
  <c r="C729" i="1"/>
  <c r="D729" i="1"/>
  <c r="E729" i="1"/>
  <c r="F729" i="1"/>
  <c r="G729" i="1"/>
  <c r="H729" i="1"/>
  <c r="I729" i="1"/>
  <c r="A730" i="1"/>
  <c r="B730" i="1"/>
  <c r="C730" i="1"/>
  <c r="D730" i="1"/>
  <c r="E730" i="1"/>
  <c r="F730" i="1"/>
  <c r="G730" i="1"/>
  <c r="H730" i="1"/>
  <c r="I730" i="1"/>
  <c r="A731" i="1"/>
  <c r="B731" i="1"/>
  <c r="C731" i="1"/>
  <c r="D731" i="1"/>
  <c r="E731" i="1"/>
  <c r="F731" i="1"/>
  <c r="G731" i="1"/>
  <c r="H731" i="1"/>
  <c r="I731" i="1"/>
  <c r="A732" i="1"/>
  <c r="B732" i="1"/>
  <c r="C732" i="1"/>
  <c r="D732" i="1"/>
  <c r="E732" i="1"/>
  <c r="F732" i="1"/>
  <c r="G732" i="1"/>
  <c r="H732" i="1"/>
  <c r="I732" i="1"/>
  <c r="A733" i="1"/>
  <c r="B733" i="1"/>
  <c r="C733" i="1"/>
  <c r="D733" i="1"/>
  <c r="E733" i="1"/>
  <c r="F733" i="1"/>
  <c r="G733" i="1"/>
  <c r="H733" i="1"/>
  <c r="I733" i="1"/>
  <c r="A734" i="1"/>
  <c r="B734" i="1"/>
  <c r="C734" i="1"/>
  <c r="D734" i="1"/>
  <c r="E734" i="1"/>
  <c r="F734" i="1"/>
  <c r="G734" i="1"/>
  <c r="H734" i="1"/>
  <c r="I734" i="1"/>
  <c r="A735" i="1"/>
  <c r="B735" i="1"/>
  <c r="C735" i="1"/>
  <c r="D735" i="1"/>
  <c r="E735" i="1"/>
  <c r="F735" i="1"/>
  <c r="G735" i="1"/>
  <c r="H735" i="1"/>
  <c r="I735" i="1"/>
  <c r="A736" i="1"/>
  <c r="B736" i="1"/>
  <c r="C736" i="1"/>
  <c r="D736" i="1"/>
  <c r="E736" i="1"/>
  <c r="F736" i="1"/>
  <c r="G736" i="1"/>
  <c r="H736" i="1"/>
  <c r="I736" i="1"/>
  <c r="A737" i="1"/>
  <c r="B737" i="1"/>
  <c r="C737" i="1"/>
  <c r="D737" i="1"/>
  <c r="E737" i="1"/>
  <c r="F737" i="1"/>
  <c r="G737" i="1"/>
  <c r="H737" i="1"/>
  <c r="I737" i="1"/>
  <c r="A738" i="1"/>
  <c r="B738" i="1"/>
  <c r="C738" i="1"/>
  <c r="D738" i="1"/>
  <c r="E738" i="1"/>
  <c r="F738" i="1"/>
  <c r="G738" i="1"/>
  <c r="H738" i="1"/>
  <c r="I738" i="1"/>
  <c r="A739" i="1"/>
  <c r="B739" i="1"/>
  <c r="C739" i="1"/>
  <c r="D739" i="1"/>
  <c r="E739" i="1"/>
  <c r="F739" i="1"/>
  <c r="G739" i="1"/>
  <c r="H739" i="1"/>
  <c r="I739" i="1"/>
  <c r="A740" i="1"/>
  <c r="B740" i="1"/>
  <c r="C740" i="1"/>
  <c r="D740" i="1"/>
  <c r="E740" i="1"/>
  <c r="F740" i="1"/>
  <c r="G740" i="1"/>
  <c r="H740" i="1"/>
  <c r="I740" i="1"/>
  <c r="A741" i="1"/>
  <c r="B741" i="1"/>
  <c r="C741" i="1"/>
  <c r="D741" i="1"/>
  <c r="E741" i="1"/>
  <c r="F741" i="1"/>
  <c r="G741" i="1"/>
  <c r="H741" i="1"/>
  <c r="I741" i="1"/>
  <c r="A742" i="1"/>
  <c r="B742" i="1"/>
  <c r="C742" i="1"/>
  <c r="D742" i="1"/>
  <c r="E742" i="1"/>
  <c r="F742" i="1"/>
  <c r="G742" i="1"/>
  <c r="H742" i="1"/>
  <c r="I742" i="1"/>
  <c r="A743" i="1"/>
  <c r="B743" i="1"/>
  <c r="C743" i="1"/>
  <c r="D743" i="1"/>
  <c r="E743" i="1"/>
  <c r="F743" i="1"/>
  <c r="G743" i="1"/>
  <c r="H743" i="1"/>
  <c r="I743" i="1"/>
  <c r="A744" i="1"/>
  <c r="B744" i="1"/>
  <c r="C744" i="1"/>
  <c r="D744" i="1"/>
  <c r="E744" i="1"/>
  <c r="F744" i="1"/>
  <c r="G744" i="1"/>
  <c r="H744" i="1"/>
  <c r="I744" i="1"/>
  <c r="A745" i="1"/>
  <c r="B745" i="1"/>
  <c r="C745" i="1"/>
  <c r="D745" i="1"/>
  <c r="E745" i="1"/>
  <c r="F745" i="1"/>
  <c r="G745" i="1"/>
  <c r="H745" i="1"/>
  <c r="I745" i="1"/>
  <c r="A746" i="1"/>
  <c r="B746" i="1"/>
  <c r="C746" i="1"/>
  <c r="D746" i="1"/>
  <c r="E746" i="1"/>
  <c r="F746" i="1"/>
  <c r="G746" i="1"/>
  <c r="H746" i="1"/>
  <c r="I746" i="1"/>
  <c r="A747" i="1"/>
  <c r="B747" i="1"/>
  <c r="C747" i="1"/>
  <c r="D747" i="1"/>
  <c r="E747" i="1"/>
  <c r="F747" i="1"/>
  <c r="G747" i="1"/>
  <c r="H747" i="1"/>
  <c r="I747" i="1"/>
  <c r="A748" i="1"/>
  <c r="B748" i="1"/>
  <c r="C748" i="1"/>
  <c r="D748" i="1"/>
  <c r="E748" i="1"/>
  <c r="F748" i="1"/>
  <c r="G748" i="1"/>
  <c r="H748" i="1"/>
  <c r="I748" i="1"/>
  <c r="A749" i="1"/>
  <c r="B749" i="1"/>
  <c r="C749" i="1"/>
  <c r="D749" i="1"/>
  <c r="E749" i="1"/>
  <c r="F749" i="1"/>
  <c r="G749" i="1"/>
  <c r="H749" i="1"/>
  <c r="I749" i="1"/>
  <c r="A750" i="1"/>
  <c r="B750" i="1"/>
  <c r="C750" i="1"/>
  <c r="D750" i="1"/>
  <c r="E750" i="1"/>
  <c r="F750" i="1"/>
  <c r="G750" i="1"/>
  <c r="H750" i="1"/>
  <c r="I750" i="1"/>
  <c r="A751" i="1"/>
  <c r="B751" i="1"/>
  <c r="C751" i="1"/>
  <c r="D751" i="1"/>
  <c r="E751" i="1"/>
  <c r="F751" i="1"/>
  <c r="G751" i="1"/>
  <c r="H751" i="1"/>
  <c r="I751" i="1"/>
  <c r="A752" i="1"/>
  <c r="B752" i="1"/>
  <c r="C752" i="1"/>
  <c r="D752" i="1"/>
  <c r="E752" i="1"/>
  <c r="F752" i="1"/>
  <c r="G752" i="1"/>
  <c r="H752" i="1"/>
  <c r="I752" i="1"/>
  <c r="A753" i="1"/>
  <c r="B753" i="1"/>
  <c r="C753" i="1"/>
  <c r="D753" i="1"/>
  <c r="E753" i="1"/>
  <c r="F753" i="1"/>
  <c r="G753" i="1"/>
  <c r="H753" i="1"/>
  <c r="I753" i="1"/>
  <c r="A754" i="1"/>
  <c r="B754" i="1"/>
  <c r="C754" i="1"/>
  <c r="D754" i="1"/>
  <c r="E754" i="1"/>
  <c r="F754" i="1"/>
  <c r="G754" i="1"/>
  <c r="H754" i="1"/>
  <c r="I754" i="1"/>
  <c r="A755" i="1"/>
  <c r="B755" i="1"/>
  <c r="C755" i="1"/>
  <c r="D755" i="1"/>
  <c r="E755" i="1"/>
  <c r="F755" i="1"/>
  <c r="G755" i="1"/>
  <c r="H755" i="1"/>
  <c r="I755" i="1"/>
  <c r="A756" i="1"/>
  <c r="B756" i="1"/>
  <c r="C756" i="1"/>
  <c r="D756" i="1"/>
  <c r="E756" i="1"/>
  <c r="F756" i="1"/>
  <c r="G756" i="1"/>
  <c r="H756" i="1"/>
  <c r="I756" i="1"/>
  <c r="A757" i="1"/>
  <c r="B757" i="1"/>
  <c r="C757" i="1"/>
  <c r="D757" i="1"/>
  <c r="E757" i="1"/>
  <c r="F757" i="1"/>
  <c r="G757" i="1"/>
  <c r="H757" i="1"/>
  <c r="I757" i="1"/>
  <c r="A758" i="1"/>
  <c r="B758" i="1"/>
  <c r="C758" i="1"/>
  <c r="D758" i="1"/>
  <c r="E758" i="1"/>
  <c r="F758" i="1"/>
  <c r="G758" i="1"/>
  <c r="H758" i="1"/>
  <c r="I758" i="1"/>
  <c r="A759" i="1"/>
  <c r="B759" i="1"/>
  <c r="C759" i="1"/>
  <c r="D759" i="1"/>
  <c r="E759" i="1"/>
  <c r="F759" i="1"/>
  <c r="G759" i="1"/>
  <c r="H759" i="1"/>
  <c r="I759" i="1"/>
</calcChain>
</file>

<file path=xl/sharedStrings.xml><?xml version="1.0" encoding="utf-8"?>
<sst xmlns="http://schemas.openxmlformats.org/spreadsheetml/2006/main" count="9" uniqueCount="9">
  <si>
    <t>CIG</t>
  </si>
  <si>
    <t>Struttura Proponente</t>
  </si>
  <si>
    <t>Oggetto</t>
  </si>
  <si>
    <t>Procedura di scelta del contraente</t>
  </si>
  <si>
    <t>Elenco degli Operatori invitati a presentare offerta</t>
  </si>
  <si>
    <t>Aggiudicatario</t>
  </si>
  <si>
    <t>Importo di aggiudicazione</t>
  </si>
  <si>
    <t>Tempi di Completamento dell'opera</t>
  </si>
  <si>
    <t>Importo delle Somme Liquidate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</si>
</sst>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9"/>
  <sheetViews>
    <sheetView tabSelected="1" workbookViewId="0"/>
  </sheetViews>
  <sheetFormatPr defaultRowHeight="15" x14ac:dyDescent="0.25"/>
  <cols>
    <col min="8" max="8" width="33.855468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tr">
        <f>"Z3A3009B5B"</f>
        <v>Z3A3009B5B</v>
      </c>
      <c r="B2" t="str">
        <f t="shared" ref="B2:B44" si="0">"Automobile Club di Ravenna (ACRavenna) - 00085710390"</f>
        <v>Automobile Club di Ravenna (ACRavenna) - 00085710390</v>
      </c>
      <c r="C2" t="str">
        <f>"RIPARAZIONE TAPPARELLA"</f>
        <v>RIPARAZIONE TAPPARELLA</v>
      </c>
      <c r="D2" t="str">
        <f t="shared" ref="D2:D33" si="1">"23-AFFIDAMENTO DIRETTO"</f>
        <v>23-AFFIDAMENTO DIRETTO</v>
      </c>
      <c r="E2" t="str">
        <f>"MERCADINI SAS - 00961390390"</f>
        <v>MERCADINI SAS - 00961390390</v>
      </c>
      <c r="F2" t="str">
        <f>"MERCADINI SAS - 00961390390"</f>
        <v>MERCADINI SAS - 00961390390</v>
      </c>
      <c r="G2" t="str">
        <f>"180,00 EUR"</f>
        <v>180,00 EUR</v>
      </c>
      <c r="H2" t="str">
        <f>""</f>
        <v/>
      </c>
      <c r="I2" t="str">
        <f t="shared" ref="I2:I13" si="2">"0,00 EUR"</f>
        <v>0,00 EUR</v>
      </c>
    </row>
    <row r="3" spans="1:9" x14ac:dyDescent="0.25">
      <c r="A3" t="str">
        <f>"Z442FF8894"</f>
        <v>Z442FF8894</v>
      </c>
      <c r="B3" t="str">
        <f t="shared" si="0"/>
        <v>Automobile Club di Ravenna (ACRavenna) - 00085710390</v>
      </c>
      <c r="C3" t="str">
        <f>"FORNITURA MODULI PERSONALIZZATI"</f>
        <v>FORNITURA MODULI PERSONALIZZATI</v>
      </c>
      <c r="D3" t="str">
        <f t="shared" si="1"/>
        <v>23-AFFIDAMENTO DIRETTO</v>
      </c>
      <c r="E3" t="str">
        <f>"MAZZANTI PRINTCOLOR SRL - 02091850395"</f>
        <v>MAZZANTI PRINTCOLOR SRL - 02091850395</v>
      </c>
      <c r="F3" t="str">
        <f>"MAZZANTI PRINTCOLOR SRL - 02091850395"</f>
        <v>MAZZANTI PRINTCOLOR SRL - 02091850395</v>
      </c>
      <c r="G3" t="str">
        <f>"630,00 EUR"</f>
        <v>630,00 EUR</v>
      </c>
      <c r="H3" t="str">
        <f>""</f>
        <v/>
      </c>
      <c r="I3" t="str">
        <f t="shared" si="2"/>
        <v>0,00 EUR</v>
      </c>
    </row>
    <row r="4" spans="1:9" x14ac:dyDescent="0.25">
      <c r="A4" t="str">
        <f>"ZBA2FE4574"</f>
        <v>ZBA2FE4574</v>
      </c>
      <c r="B4" t="str">
        <f t="shared" si="0"/>
        <v>Automobile Club di Ravenna (ACRavenna) - 00085710390</v>
      </c>
      <c r="C4" t="str">
        <f>"RIPARAZIONE CLIMATIZZATORE"</f>
        <v>RIPARAZIONE CLIMATIZZATORE</v>
      </c>
      <c r="D4" t="str">
        <f t="shared" si="1"/>
        <v>23-AFFIDAMENTO DIRETTO</v>
      </c>
      <c r="E4" t="str">
        <f>"MORGAGNI IMPIANTI ELETTRICI - 02650650399"</f>
        <v>MORGAGNI IMPIANTI ELETTRICI - 02650650399</v>
      </c>
      <c r="F4" t="str">
        <f>"MORGAGNI IMPIANTI ELETTRICI - 02650650399"</f>
        <v>MORGAGNI IMPIANTI ELETTRICI - 02650650399</v>
      </c>
      <c r="G4" t="str">
        <f>"942,00 EUR"</f>
        <v>942,00 EUR</v>
      </c>
      <c r="H4" t="str">
        <f>""</f>
        <v/>
      </c>
      <c r="I4" t="str">
        <f t="shared" si="2"/>
        <v>0,00 EUR</v>
      </c>
    </row>
    <row r="5" spans="1:9" x14ac:dyDescent="0.25">
      <c r="A5" t="str">
        <f>"Z632FB5C61"</f>
        <v>Z632FB5C61</v>
      </c>
      <c r="B5" t="str">
        <f t="shared" si="0"/>
        <v>Automobile Club di Ravenna (ACRavenna) - 00085710390</v>
      </c>
      <c r="C5" t="str">
        <f>"SMALTIMENTO RIFIUTI ARCHIVIO"</f>
        <v>SMALTIMENTO RIFIUTI ARCHIVIO</v>
      </c>
      <c r="D5" t="str">
        <f t="shared" si="1"/>
        <v>23-AFFIDAMENTO DIRETTO</v>
      </c>
      <c r="E5" t="str">
        <f>"GARNERO ARMANDO SNC - 01321060392"</f>
        <v>GARNERO ARMANDO SNC - 01321060392</v>
      </c>
      <c r="F5" t="str">
        <f>"GARNERO ARMANDO SNC - 01321060392"</f>
        <v>GARNERO ARMANDO SNC - 01321060392</v>
      </c>
      <c r="G5" t="str">
        <f>"1.100,00 EUR"</f>
        <v>1.100,00 EUR</v>
      </c>
      <c r="H5" t="str">
        <f>""</f>
        <v/>
      </c>
      <c r="I5" t="str">
        <f t="shared" si="2"/>
        <v>0,00 EUR</v>
      </c>
    </row>
    <row r="6" spans="1:9" x14ac:dyDescent="0.25">
      <c r="A6" t="str">
        <f>"Z1D2FB5060"</f>
        <v>Z1D2FB5060</v>
      </c>
      <c r="B6" t="str">
        <f t="shared" si="0"/>
        <v>Automobile Club di Ravenna (ACRavenna) - 00085710390</v>
      </c>
      <c r="C6" t="str">
        <f>"PUBBLICITA'"</f>
        <v>PUBBLICITA'</v>
      </c>
      <c r="D6" t="str">
        <f t="shared" si="1"/>
        <v>23-AFFIDAMENTO DIRETTO</v>
      </c>
      <c r="E6" t="str">
        <f>"PUBLIMEDIA ITALIA SRL - 01108930395"</f>
        <v>PUBLIMEDIA ITALIA SRL - 01108930395</v>
      </c>
      <c r="F6" t="str">
        <f>"PUBLIMEDIA ITALIA SRL - 01108930395"</f>
        <v>PUBLIMEDIA ITALIA SRL - 01108930395</v>
      </c>
      <c r="G6" t="str">
        <f>"380,00 EUR"</f>
        <v>380,00 EUR</v>
      </c>
      <c r="H6" t="str">
        <f>""</f>
        <v/>
      </c>
      <c r="I6" t="str">
        <f t="shared" si="2"/>
        <v>0,00 EUR</v>
      </c>
    </row>
    <row r="7" spans="1:9" x14ac:dyDescent="0.25">
      <c r="A7" t="str">
        <f>"ZB02FAC1A1"</f>
        <v>ZB02FAC1A1</v>
      </c>
      <c r="B7" t="str">
        <f t="shared" si="0"/>
        <v>Automobile Club di Ravenna (ACRavenna) - 00085710390</v>
      </c>
      <c r="C7" t="str">
        <f>"SPESE DI SANIFICAZIONE"</f>
        <v>SPESE DI SANIFICAZIONE</v>
      </c>
      <c r="D7" t="str">
        <f t="shared" si="1"/>
        <v>23-AFFIDAMENTO DIRETTO</v>
      </c>
      <c r="E7" t="str">
        <f>"CENTRO IGIENE S.r.l. - 02368400392"</f>
        <v>CENTRO IGIENE S.r.l. - 02368400392</v>
      </c>
      <c r="F7" t="str">
        <f>"CENTRO IGIENE S.r.l. - 02368400392"</f>
        <v>CENTRO IGIENE S.r.l. - 02368400392</v>
      </c>
      <c r="G7" t="str">
        <f>"500,00 EUR"</f>
        <v>500,00 EUR</v>
      </c>
      <c r="H7" t="str">
        <f>""</f>
        <v/>
      </c>
      <c r="I7" t="str">
        <f t="shared" si="2"/>
        <v>0,00 EUR</v>
      </c>
    </row>
    <row r="8" spans="1:9" x14ac:dyDescent="0.25">
      <c r="A8" t="str">
        <f>"Z642F72B09"</f>
        <v>Z642F72B09</v>
      </c>
      <c r="B8" t="str">
        <f t="shared" si="0"/>
        <v>Automobile Club di Ravenna (ACRavenna) - 00085710390</v>
      </c>
      <c r="C8" t="str">
        <f>"PERNOTTAMENTO PER MISSIONE"</f>
        <v>PERNOTTAMENTO PER MISSIONE</v>
      </c>
      <c r="D8" t="str">
        <f t="shared" si="1"/>
        <v>23-AFFIDAMENTO DIRETTO</v>
      </c>
      <c r="E8" t="str">
        <f>"SANTINA SPA - 00883111007"</f>
        <v>SANTINA SPA - 00883111007</v>
      </c>
      <c r="F8" t="str">
        <f>"SANTINA SPA - 00883111007"</f>
        <v>SANTINA SPA - 00883111007</v>
      </c>
      <c r="G8" t="str">
        <f>"156,00 EUR"</f>
        <v>156,00 EUR</v>
      </c>
      <c r="H8" t="str">
        <f>""</f>
        <v/>
      </c>
      <c r="I8" t="str">
        <f t="shared" si="2"/>
        <v>0,00 EUR</v>
      </c>
    </row>
    <row r="9" spans="1:9" x14ac:dyDescent="0.25">
      <c r="A9" t="str">
        <f>"Z852F5CA23"</f>
        <v>Z852F5CA23</v>
      </c>
      <c r="B9" t="str">
        <f t="shared" si="0"/>
        <v>Automobile Club di Ravenna (ACRavenna) - 00085710390</v>
      </c>
      <c r="C9" t="str">
        <f>"ABBONAMENTO RIVISTA SPECIALIZZATA"</f>
        <v>ABBONAMENTO RIVISTA SPECIALIZZATA</v>
      </c>
      <c r="D9" t="str">
        <f t="shared" si="1"/>
        <v>23-AFFIDAMENTO DIRETTO</v>
      </c>
      <c r="E9" t="str">
        <f>"EGAF EDIZIONI SRL - 02259990402"</f>
        <v>EGAF EDIZIONI SRL - 02259990402</v>
      </c>
      <c r="F9" t="str">
        <f>"EGAF EDIZIONI SRL - 02259990402"</f>
        <v>EGAF EDIZIONI SRL - 02259990402</v>
      </c>
      <c r="G9" t="str">
        <f>"206,00 EUR"</f>
        <v>206,00 EUR</v>
      </c>
      <c r="H9" t="str">
        <f>""</f>
        <v/>
      </c>
      <c r="I9" t="str">
        <f t="shared" si="2"/>
        <v>0,00 EUR</v>
      </c>
    </row>
    <row r="10" spans="1:9" x14ac:dyDescent="0.25">
      <c r="A10" t="str">
        <f>"ZB02F59CDC"</f>
        <v>ZB02F59CDC</v>
      </c>
      <c r="B10" t="str">
        <f t="shared" si="0"/>
        <v>Automobile Club di Ravenna (ACRavenna) - 00085710390</v>
      </c>
      <c r="C10" t="str">
        <f>"MODULISTICA UFFICIO ASSISTENZA"</f>
        <v>MODULISTICA UFFICIO ASSISTENZA</v>
      </c>
      <c r="D10" t="str">
        <f t="shared" si="1"/>
        <v>23-AFFIDAMENTO DIRETTO</v>
      </c>
      <c r="E10" t="str">
        <f>"MAZZANTI PRINTCOLOR SRL - 02091850395"</f>
        <v>MAZZANTI PRINTCOLOR SRL - 02091850395</v>
      </c>
      <c r="F10" t="str">
        <f>"MAZZANTI PRINTCOLOR SRL - 02091850395"</f>
        <v>MAZZANTI PRINTCOLOR SRL - 02091850395</v>
      </c>
      <c r="G10" t="str">
        <f>"160,00 EUR"</f>
        <v>160,00 EUR</v>
      </c>
      <c r="H10" t="str">
        <f>""</f>
        <v/>
      </c>
      <c r="I10" t="str">
        <f t="shared" si="2"/>
        <v>0,00 EUR</v>
      </c>
    </row>
    <row r="11" spans="1:9" x14ac:dyDescent="0.25">
      <c r="A11" t="str">
        <f>"Z522F4CD28"</f>
        <v>Z522F4CD28</v>
      </c>
      <c r="B11" t="str">
        <f t="shared" si="0"/>
        <v>Automobile Club di Ravenna (ACRavenna) - 00085710390</v>
      </c>
      <c r="C11" t="str">
        <f>"ASSISTENZA HOSTING"</f>
        <v>ASSISTENZA HOSTING</v>
      </c>
      <c r="D11" t="str">
        <f t="shared" si="1"/>
        <v>23-AFFIDAMENTO DIRETTO</v>
      </c>
      <c r="E11" t="str">
        <f>"F. TECHNOLOGY - 03840520401"</f>
        <v>F. TECHNOLOGY - 03840520401</v>
      </c>
      <c r="F11" t="str">
        <f>"F. TECHNOLOGY - 03840520401"</f>
        <v>F. TECHNOLOGY - 03840520401</v>
      </c>
      <c r="G11" t="str">
        <f>"846,00 EUR"</f>
        <v>846,00 EUR</v>
      </c>
      <c r="H11" t="str">
        <f>""</f>
        <v/>
      </c>
      <c r="I11" t="str">
        <f t="shared" si="2"/>
        <v>0,00 EUR</v>
      </c>
    </row>
    <row r="12" spans="1:9" x14ac:dyDescent="0.25">
      <c r="A12" t="str">
        <f>"Z3B2F37B8F"</f>
        <v>Z3B2F37B8F</v>
      </c>
      <c r="B12" t="str">
        <f t="shared" si="0"/>
        <v>Automobile Club di Ravenna (ACRavenna) - 00085710390</v>
      </c>
      <c r="C12" t="str">
        <f>"INDAGINE UFFICIO ASSISTENZA"</f>
        <v>INDAGINE UFFICIO ASSISTENZA</v>
      </c>
      <c r="D12" t="str">
        <f t="shared" si="1"/>
        <v>23-AFFIDAMENTO DIRETTO</v>
      </c>
      <c r="E12" t="str">
        <f>"DM CONNECT DI MUNGOYANNIS DMITRI - 03701001202"</f>
        <v>DM CONNECT DI MUNGOYANNIS DMITRI - 03701001202</v>
      </c>
      <c r="F12" t="str">
        <f>"DM CONNECT DI MUNGOYANNIS DMITRI - 03701001202"</f>
        <v>DM CONNECT DI MUNGOYANNIS DMITRI - 03701001202</v>
      </c>
      <c r="G12" t="str">
        <f>"250,00 EUR"</f>
        <v>250,00 EUR</v>
      </c>
      <c r="H12" t="str">
        <f>""</f>
        <v/>
      </c>
      <c r="I12" t="str">
        <f t="shared" si="2"/>
        <v>0,00 EUR</v>
      </c>
    </row>
    <row r="13" spans="1:9" x14ac:dyDescent="0.25">
      <c r="A13" t="str">
        <f>"Z502F07E92"</f>
        <v>Z502F07E92</v>
      </c>
      <c r="B13" t="str">
        <f t="shared" si="0"/>
        <v>Automobile Club di Ravenna (ACRavenna) - 00085710390</v>
      </c>
      <c r="C13" t="str">
        <f>"SERVIZIO RSPP"</f>
        <v>SERVIZIO RSPP</v>
      </c>
      <c r="D13" t="str">
        <f t="shared" si="1"/>
        <v>23-AFFIDAMENTO DIRETTO</v>
      </c>
      <c r="E13" t="str">
        <f>"ECHOS ENGINEERING SRL - 02003550395"</f>
        <v>ECHOS ENGINEERING SRL - 02003550395</v>
      </c>
      <c r="F13" t="str">
        <f>"ECHOS ENGINEERING SRL - 02003550395"</f>
        <v>ECHOS ENGINEERING SRL - 02003550395</v>
      </c>
      <c r="G13" t="str">
        <f>"1.440,00 EUR"</f>
        <v>1.440,00 EUR</v>
      </c>
      <c r="H13" t="str">
        <f>""</f>
        <v/>
      </c>
      <c r="I13" t="str">
        <f t="shared" si="2"/>
        <v>0,00 EUR</v>
      </c>
    </row>
    <row r="14" spans="1:9" x14ac:dyDescent="0.25">
      <c r="A14" t="str">
        <f>"ZAA0F01D40"</f>
        <v>ZAA0F01D40</v>
      </c>
      <c r="B14" t="str">
        <f t="shared" si="0"/>
        <v>Automobile Club di Ravenna (ACRavenna) - 00085710390</v>
      </c>
      <c r="C14" t="str">
        <f>"MODULISTICA UFFICIO ASSISTENZA"</f>
        <v>MODULISTICA UFFICIO ASSISTENZA</v>
      </c>
      <c r="D14" t="str">
        <f t="shared" si="1"/>
        <v>23-AFFIDAMENTO DIRETTO</v>
      </c>
      <c r="E14" t="str">
        <f>"MAZZANTI PRINTCOLOR SRL - 02091850395"</f>
        <v>MAZZANTI PRINTCOLOR SRL - 02091850395</v>
      </c>
      <c r="F14" t="str">
        <f>"MAZZANTI PRINTCOLOR SRL - 02091850395"</f>
        <v>MAZZANTI PRINTCOLOR SRL - 02091850395</v>
      </c>
      <c r="G14" t="str">
        <f>"135,00 EUR"</f>
        <v>135,00 EUR</v>
      </c>
      <c r="H14" t="str">
        <f>""</f>
        <v/>
      </c>
      <c r="I14" t="str">
        <f>"135,00 EUR"</f>
        <v>135,00 EUR</v>
      </c>
    </row>
    <row r="15" spans="1:9" x14ac:dyDescent="0.25">
      <c r="A15" t="str">
        <f>"Z5B2EF48C4"</f>
        <v>Z5B2EF48C4</v>
      </c>
      <c r="B15" t="str">
        <f t="shared" si="0"/>
        <v>Automobile Club di Ravenna (ACRavenna) - 00085710390</v>
      </c>
      <c r="C15" t="str">
        <f>"RIPARAZIONE PORTA INGRESSO"</f>
        <v>RIPARAZIONE PORTA INGRESSO</v>
      </c>
      <c r="D15" t="str">
        <f t="shared" si="1"/>
        <v>23-AFFIDAMENTO DIRETTO</v>
      </c>
      <c r="E15" t="str">
        <f>"ASSA ABLOY ENTRANCE SYSTEMS SPA - 08403530150"</f>
        <v>ASSA ABLOY ENTRANCE SYSTEMS SPA - 08403530150</v>
      </c>
      <c r="F15" t="str">
        <f>"ASSA ABLOY ENTRANCE SYSTEMS SPA - 08403530150"</f>
        <v>ASSA ABLOY ENTRANCE SYSTEMS SPA - 08403530150</v>
      </c>
      <c r="G15" t="str">
        <f>"704,00 EUR"</f>
        <v>704,00 EUR</v>
      </c>
      <c r="H15" t="str">
        <f>""</f>
        <v/>
      </c>
      <c r="I15" t="str">
        <f>"0,00 EUR"</f>
        <v>0,00 EUR</v>
      </c>
    </row>
    <row r="16" spans="1:9" x14ac:dyDescent="0.25">
      <c r="A16" t="str">
        <f>"Z5B2EED31C"</f>
        <v>Z5B2EED31C</v>
      </c>
      <c r="B16" t="str">
        <f t="shared" si="0"/>
        <v>Automobile Club di Ravenna (ACRavenna) - 00085710390</v>
      </c>
      <c r="C16" t="str">
        <f>"SERVIZIO RECAPITO BOLSE NOVEMBRE"</f>
        <v>SERVIZIO RECAPITO BOLSE NOVEMBRE</v>
      </c>
      <c r="D16" t="str">
        <f t="shared" si="1"/>
        <v>23-AFFIDAMENTO DIRETTO</v>
      </c>
      <c r="E16" t="str">
        <f t="shared" ref="E16:F18" si="3">"FUTURFIL SRL - 02471780391"</f>
        <v>FUTURFIL SRL - 02471780391</v>
      </c>
      <c r="F16" t="str">
        <f t="shared" si="3"/>
        <v>FUTURFIL SRL - 02471780391</v>
      </c>
      <c r="G16" t="str">
        <f>"802,00 EUR"</f>
        <v>802,00 EUR</v>
      </c>
      <c r="H16" t="str">
        <f>""</f>
        <v/>
      </c>
      <c r="I16" t="str">
        <f>"802,00 EUR"</f>
        <v>802,00 EUR</v>
      </c>
    </row>
    <row r="17" spans="1:9" x14ac:dyDescent="0.25">
      <c r="A17" t="str">
        <f>"ZA82EED346"</f>
        <v>ZA82EED346</v>
      </c>
      <c r="B17" t="str">
        <f t="shared" si="0"/>
        <v>Automobile Club di Ravenna (ACRavenna) - 00085710390</v>
      </c>
      <c r="C17" t="str">
        <f>"SERVIZIO RECAPITO SOCI NOVEMBRE"</f>
        <v>SERVIZIO RECAPITO SOCI NOVEMBRE</v>
      </c>
      <c r="D17" t="str">
        <f t="shared" si="1"/>
        <v>23-AFFIDAMENTO DIRETTO</v>
      </c>
      <c r="E17" t="str">
        <f t="shared" si="3"/>
        <v>FUTURFIL SRL - 02471780391</v>
      </c>
      <c r="F17" t="str">
        <f t="shared" si="3"/>
        <v>FUTURFIL SRL - 02471780391</v>
      </c>
      <c r="G17" t="str">
        <f>"112,00 EUR"</f>
        <v>112,00 EUR</v>
      </c>
      <c r="H17" t="str">
        <f>""</f>
        <v/>
      </c>
      <c r="I17" t="str">
        <f>"112,00 EUR"</f>
        <v>112,00 EUR</v>
      </c>
    </row>
    <row r="18" spans="1:9" x14ac:dyDescent="0.25">
      <c r="A18" t="str">
        <f>"Z602EED37A"</f>
        <v>Z602EED37A</v>
      </c>
      <c r="B18" t="str">
        <f t="shared" si="0"/>
        <v>Automobile Club di Ravenna (ACRavenna) - 00085710390</v>
      </c>
      <c r="C18" t="str">
        <f>"SERVIZIO RECAPITO PATENTI NOVEMBRE"</f>
        <v>SERVIZIO RECAPITO PATENTI NOVEMBRE</v>
      </c>
      <c r="D18" t="str">
        <f t="shared" si="1"/>
        <v>23-AFFIDAMENTO DIRETTO</v>
      </c>
      <c r="E18" t="str">
        <f t="shared" si="3"/>
        <v>FUTURFIL SRL - 02471780391</v>
      </c>
      <c r="F18" t="str">
        <f t="shared" si="3"/>
        <v>FUTURFIL SRL - 02471780391</v>
      </c>
      <c r="G18" t="str">
        <f>"293,00 EUR"</f>
        <v>293,00 EUR</v>
      </c>
      <c r="H18" t="str">
        <f>""</f>
        <v/>
      </c>
      <c r="I18" t="str">
        <f>"293,00 EUR"</f>
        <v>293,00 EUR</v>
      </c>
    </row>
    <row r="19" spans="1:9" x14ac:dyDescent="0.25">
      <c r="A19" t="str">
        <f>"Z182EED3AE"</f>
        <v>Z182EED3AE</v>
      </c>
      <c r="B19" t="str">
        <f t="shared" si="0"/>
        <v>Automobile Club di Ravenna (ACRavenna) - 00085710390</v>
      </c>
      <c r="C19" t="str">
        <f>"ELAB BOLSE NOVEMBRE\"</f>
        <v>ELAB BOLSE NOVEMBRE\</v>
      </c>
      <c r="D19" t="str">
        <f t="shared" si="1"/>
        <v>23-AFFIDAMENTO DIRETTO</v>
      </c>
      <c r="E19" t="str">
        <f t="shared" ref="E19:F21" si="4">"GAMMA INDIRIZZI SRL - 01048250391"</f>
        <v>GAMMA INDIRIZZI SRL - 01048250391</v>
      </c>
      <c r="F19" t="str">
        <f t="shared" si="4"/>
        <v>GAMMA INDIRIZZI SRL - 01048250391</v>
      </c>
      <c r="G19" t="str">
        <f>"542,00 EUR"</f>
        <v>542,00 EUR</v>
      </c>
      <c r="H19" t="str">
        <f>""</f>
        <v/>
      </c>
      <c r="I19" t="str">
        <f>"542,00 EUR"</f>
        <v>542,00 EUR</v>
      </c>
    </row>
    <row r="20" spans="1:9" x14ac:dyDescent="0.25">
      <c r="A20" t="str">
        <f>"Z0A2EED3D4"</f>
        <v>Z0A2EED3D4</v>
      </c>
      <c r="B20" t="str">
        <f t="shared" si="0"/>
        <v>Automobile Club di Ravenna (ACRavenna) - 00085710390</v>
      </c>
      <c r="C20" t="str">
        <f>"ELAB SOCI NOVEMBRE"</f>
        <v>ELAB SOCI NOVEMBRE</v>
      </c>
      <c r="D20" t="str">
        <f t="shared" si="1"/>
        <v>23-AFFIDAMENTO DIRETTO</v>
      </c>
      <c r="E20" t="str">
        <f t="shared" si="4"/>
        <v>GAMMA INDIRIZZI SRL - 01048250391</v>
      </c>
      <c r="F20" t="str">
        <f t="shared" si="4"/>
        <v>GAMMA INDIRIZZI SRL - 01048250391</v>
      </c>
      <c r="G20" t="str">
        <f>"99,00 EUR"</f>
        <v>99,00 EUR</v>
      </c>
      <c r="H20" t="str">
        <f>""</f>
        <v/>
      </c>
      <c r="I20" t="str">
        <f>"99,00 EUR"</f>
        <v>99,00 EUR</v>
      </c>
    </row>
    <row r="21" spans="1:9" x14ac:dyDescent="0.25">
      <c r="A21" t="str">
        <f>"Z742EED3F7"</f>
        <v>Z742EED3F7</v>
      </c>
      <c r="B21" t="str">
        <f t="shared" si="0"/>
        <v>Automobile Club di Ravenna (ACRavenna) - 00085710390</v>
      </c>
      <c r="C21" t="str">
        <f>"ELAB PATENTI NOVEMBRE"</f>
        <v>ELAB PATENTI NOVEMBRE</v>
      </c>
      <c r="D21" t="str">
        <f t="shared" si="1"/>
        <v>23-AFFIDAMENTO DIRETTO</v>
      </c>
      <c r="E21" t="str">
        <f t="shared" si="4"/>
        <v>GAMMA INDIRIZZI SRL - 01048250391</v>
      </c>
      <c r="F21" t="str">
        <f t="shared" si="4"/>
        <v>GAMMA INDIRIZZI SRL - 01048250391</v>
      </c>
      <c r="G21" t="str">
        <f>"75,00 EUR"</f>
        <v>75,00 EUR</v>
      </c>
      <c r="H21" t="str">
        <f>""</f>
        <v/>
      </c>
      <c r="I21" t="str">
        <f>"75,00 EUR"</f>
        <v>75,00 EUR</v>
      </c>
    </row>
    <row r="22" spans="1:9" x14ac:dyDescent="0.25">
      <c r="A22" t="str">
        <f>"Z0A2EC3FF9"</f>
        <v>Z0A2EC3FF9</v>
      </c>
      <c r="B22" t="str">
        <f t="shared" si="0"/>
        <v>Automobile Club di Ravenna (ACRavenna) - 00085710390</v>
      </c>
      <c r="C22" t="str">
        <f>"ACQUISTO GASOLIO DA RISCALDAMENTO"</f>
        <v>ACQUISTO GASOLIO DA RISCALDAMENTO</v>
      </c>
      <c r="D22" t="str">
        <f t="shared" si="1"/>
        <v>23-AFFIDAMENTO DIRETTO</v>
      </c>
      <c r="E22" t="str">
        <f>"ENI FUEL - 02701740108"</f>
        <v>ENI FUEL - 02701740108</v>
      </c>
      <c r="F22" t="str">
        <f>"ENI FUEL - 02701740108"</f>
        <v>ENI FUEL - 02701740108</v>
      </c>
      <c r="G22" t="str">
        <f>"1.400,00 EUR"</f>
        <v>1.400,00 EUR</v>
      </c>
      <c r="H22" t="str">
        <f>""</f>
        <v/>
      </c>
      <c r="I22" t="str">
        <f>"1.400,00 EUR"</f>
        <v>1.400,00 EUR</v>
      </c>
    </row>
    <row r="23" spans="1:9" x14ac:dyDescent="0.25">
      <c r="A23" t="str">
        <f>"Z3A2E87B62"</f>
        <v>Z3A2E87B62</v>
      </c>
      <c r="B23" t="str">
        <f t="shared" si="0"/>
        <v>Automobile Club di Ravenna (ACRavenna) - 00085710390</v>
      </c>
      <c r="C23" t="str">
        <f>"BIGLIETTI DA VISITA"</f>
        <v>BIGLIETTI DA VISITA</v>
      </c>
      <c r="D23" t="str">
        <f t="shared" si="1"/>
        <v>23-AFFIDAMENTO DIRETTO</v>
      </c>
      <c r="E23" t="str">
        <f>"MAZZANTI PRINTCOLOR SRL - 02091850395"</f>
        <v>MAZZANTI PRINTCOLOR SRL - 02091850395</v>
      </c>
      <c r="F23" t="str">
        <f>"MAZZANTI PRINTCOLOR SRL - 02091850395"</f>
        <v>MAZZANTI PRINTCOLOR SRL - 02091850395</v>
      </c>
      <c r="G23" t="str">
        <f>"55,00 EUR"</f>
        <v>55,00 EUR</v>
      </c>
      <c r="H23" t="str">
        <f>""</f>
        <v/>
      </c>
      <c r="I23" t="str">
        <f>"55,00 EUR"</f>
        <v>55,00 EUR</v>
      </c>
    </row>
    <row r="24" spans="1:9" x14ac:dyDescent="0.25">
      <c r="A24" t="str">
        <f>"Z372E80004"</f>
        <v>Z372E80004</v>
      </c>
      <c r="B24" t="str">
        <f t="shared" si="0"/>
        <v>Automobile Club di Ravenna (ACRavenna) - 00085710390</v>
      </c>
      <c r="C24" t="str">
        <f>"ELAB FILE PATENTI OTTOBRE"</f>
        <v>ELAB FILE PATENTI OTTOBRE</v>
      </c>
      <c r="D24" t="str">
        <f t="shared" si="1"/>
        <v>23-AFFIDAMENTO DIRETTO</v>
      </c>
      <c r="E24" t="str">
        <f t="shared" ref="E24:F26" si="5">"GAMMA INDIRIZZI SRL - 01048250391"</f>
        <v>GAMMA INDIRIZZI SRL - 01048250391</v>
      </c>
      <c r="F24" t="str">
        <f t="shared" si="5"/>
        <v>GAMMA INDIRIZZI SRL - 01048250391</v>
      </c>
      <c r="G24" t="str">
        <f>"79,00 EUR"</f>
        <v>79,00 EUR</v>
      </c>
      <c r="H24" t="str">
        <f>""</f>
        <v/>
      </c>
      <c r="I24" t="str">
        <f t="shared" ref="I24:I29" si="6">"0,00 EUR"</f>
        <v>0,00 EUR</v>
      </c>
    </row>
    <row r="25" spans="1:9" x14ac:dyDescent="0.25">
      <c r="A25" t="str">
        <f>"ZC12E7FFF4"</f>
        <v>ZC12E7FFF4</v>
      </c>
      <c r="B25" t="str">
        <f t="shared" si="0"/>
        <v>Automobile Club di Ravenna (ACRavenna) - 00085710390</v>
      </c>
      <c r="C25" t="str">
        <f>"ELAB SOCI OTTOBRE"</f>
        <v>ELAB SOCI OTTOBRE</v>
      </c>
      <c r="D25" t="str">
        <f t="shared" si="1"/>
        <v>23-AFFIDAMENTO DIRETTO</v>
      </c>
      <c r="E25" t="str">
        <f t="shared" si="5"/>
        <v>GAMMA INDIRIZZI SRL - 01048250391</v>
      </c>
      <c r="F25" t="str">
        <f t="shared" si="5"/>
        <v>GAMMA INDIRIZZI SRL - 01048250391</v>
      </c>
      <c r="G25" t="str">
        <f>"105,00 EUR"</f>
        <v>105,00 EUR</v>
      </c>
      <c r="H25" t="str">
        <f>""</f>
        <v/>
      </c>
      <c r="I25" t="str">
        <f t="shared" si="6"/>
        <v>0,00 EUR</v>
      </c>
    </row>
    <row r="26" spans="1:9" x14ac:dyDescent="0.25">
      <c r="A26" t="str">
        <f>"Z072E7FFD3"</f>
        <v>Z072E7FFD3</v>
      </c>
      <c r="B26" t="str">
        <f t="shared" si="0"/>
        <v>Automobile Club di Ravenna (ACRavenna) - 00085710390</v>
      </c>
      <c r="C26" t="str">
        <f>"ELAB FILE BOLSE OTTOBRE"</f>
        <v>ELAB FILE BOLSE OTTOBRE</v>
      </c>
      <c r="D26" t="str">
        <f t="shared" si="1"/>
        <v>23-AFFIDAMENTO DIRETTO</v>
      </c>
      <c r="E26" t="str">
        <f t="shared" si="5"/>
        <v>GAMMA INDIRIZZI SRL - 01048250391</v>
      </c>
      <c r="F26" t="str">
        <f t="shared" si="5"/>
        <v>GAMMA INDIRIZZI SRL - 01048250391</v>
      </c>
      <c r="G26" t="str">
        <f>"242,00 EUR"</f>
        <v>242,00 EUR</v>
      </c>
      <c r="H26" t="str">
        <f>""</f>
        <v/>
      </c>
      <c r="I26" t="str">
        <f t="shared" si="6"/>
        <v>0,00 EUR</v>
      </c>
    </row>
    <row r="27" spans="1:9" x14ac:dyDescent="0.25">
      <c r="A27" t="str">
        <f>"Z692E7FFC4"</f>
        <v>Z692E7FFC4</v>
      </c>
      <c r="B27" t="str">
        <f t="shared" si="0"/>
        <v>Automobile Club di Ravenna (ACRavenna) - 00085710390</v>
      </c>
      <c r="C27" t="str">
        <f>"RECAPITO PATENTI OTTOBRE"</f>
        <v>RECAPITO PATENTI OTTOBRE</v>
      </c>
      <c r="D27" t="str">
        <f t="shared" si="1"/>
        <v>23-AFFIDAMENTO DIRETTO</v>
      </c>
      <c r="E27" t="str">
        <f t="shared" ref="E27:F29" si="7">"FUTURFIL SRL - 02471780391"</f>
        <v>FUTURFIL SRL - 02471780391</v>
      </c>
      <c r="F27" t="str">
        <f t="shared" si="7"/>
        <v>FUTURFIL SRL - 02471780391</v>
      </c>
      <c r="G27" t="str">
        <f>"307,00 EUR"</f>
        <v>307,00 EUR</v>
      </c>
      <c r="H27" t="str">
        <f>""</f>
        <v/>
      </c>
      <c r="I27" t="str">
        <f t="shared" si="6"/>
        <v>0,00 EUR</v>
      </c>
    </row>
    <row r="28" spans="1:9" x14ac:dyDescent="0.25">
      <c r="A28" t="str">
        <f>"Z982E7FFB0"</f>
        <v>Z982E7FFB0</v>
      </c>
      <c r="B28" t="str">
        <f t="shared" si="0"/>
        <v>Automobile Club di Ravenna (ACRavenna) - 00085710390</v>
      </c>
      <c r="C28" t="str">
        <f>"RECAPTIO SOCI OTTOBRE"</f>
        <v>RECAPTIO SOCI OTTOBRE</v>
      </c>
      <c r="D28" t="str">
        <f t="shared" si="1"/>
        <v>23-AFFIDAMENTO DIRETTO</v>
      </c>
      <c r="E28" t="str">
        <f t="shared" si="7"/>
        <v>FUTURFIL SRL - 02471780391</v>
      </c>
      <c r="F28" t="str">
        <f t="shared" si="7"/>
        <v>FUTURFIL SRL - 02471780391</v>
      </c>
      <c r="G28" t="str">
        <f>"128,00 EUR"</f>
        <v>128,00 EUR</v>
      </c>
      <c r="H28" t="str">
        <f>""</f>
        <v/>
      </c>
      <c r="I28" t="str">
        <f t="shared" si="6"/>
        <v>0,00 EUR</v>
      </c>
    </row>
    <row r="29" spans="1:9" x14ac:dyDescent="0.25">
      <c r="A29" t="str">
        <f>"Z6C2E7FF98"</f>
        <v>Z6C2E7FF98</v>
      </c>
      <c r="B29" t="str">
        <f t="shared" si="0"/>
        <v>Automobile Club di Ravenna (ACRavenna) - 00085710390</v>
      </c>
      <c r="C29" t="str">
        <f>"RECAPITO BOLSE OTTBRE"</f>
        <v>RECAPITO BOLSE OTTBRE</v>
      </c>
      <c r="D29" t="str">
        <f t="shared" si="1"/>
        <v>23-AFFIDAMENTO DIRETTO</v>
      </c>
      <c r="E29" t="str">
        <f t="shared" si="7"/>
        <v>FUTURFIL SRL - 02471780391</v>
      </c>
      <c r="F29" t="str">
        <f t="shared" si="7"/>
        <v>FUTURFIL SRL - 02471780391</v>
      </c>
      <c r="G29" t="str">
        <f>"332,00 EUR"</f>
        <v>332,00 EUR</v>
      </c>
      <c r="H29" t="str">
        <f>"28/09/2020 - 10/10/2020"</f>
        <v>28/09/2020 - 10/10/2020</v>
      </c>
      <c r="I29" t="str">
        <f t="shared" si="6"/>
        <v>0,00 EUR</v>
      </c>
    </row>
    <row r="30" spans="1:9" x14ac:dyDescent="0.25">
      <c r="A30" t="str">
        <f>"ZD02E7DCC7"</f>
        <v>ZD02E7DCC7</v>
      </c>
      <c r="B30" t="str">
        <f t="shared" si="0"/>
        <v>Automobile Club di Ravenna (ACRavenna) - 00085710390</v>
      </c>
      <c r="C30" t="str">
        <f>"ASSISTENZA TECNICA SITO"</f>
        <v>ASSISTENZA TECNICA SITO</v>
      </c>
      <c r="D30" t="str">
        <f t="shared" si="1"/>
        <v>23-AFFIDAMENTO DIRETTO</v>
      </c>
      <c r="E30" t="str">
        <f>"SIMATICA SRL - 02070730391"</f>
        <v>SIMATICA SRL - 02070730391</v>
      </c>
      <c r="F30" t="str">
        <f>"SIMATICA SRL - 02070730391"</f>
        <v>SIMATICA SRL - 02070730391</v>
      </c>
      <c r="G30" t="str">
        <f>"40.000,00 EUR"</f>
        <v>40.000,00 EUR</v>
      </c>
      <c r="H30" t="str">
        <f>"28/09/2020 - 10/10/2020"</f>
        <v>28/09/2020 - 10/10/2020</v>
      </c>
      <c r="I30" t="str">
        <f>"400,00 EUR"</f>
        <v>400,00 EUR</v>
      </c>
    </row>
    <row r="31" spans="1:9" x14ac:dyDescent="0.25">
      <c r="A31" t="str">
        <f>"Z282E7CAF3"</f>
        <v>Z282E7CAF3</v>
      </c>
      <c r="B31" t="str">
        <f t="shared" si="0"/>
        <v>Automobile Club di Ravenna (ACRavenna) - 00085710390</v>
      </c>
      <c r="C31" t="str">
        <f>"MODULISTICA UFFICIO SOCI"</f>
        <v>MODULISTICA UFFICIO SOCI</v>
      </c>
      <c r="D31" t="str">
        <f t="shared" si="1"/>
        <v>23-AFFIDAMENTO DIRETTO</v>
      </c>
      <c r="E31" t="str">
        <f>"MAZZANTI PRINTCOLOR SRL - 02091850395"</f>
        <v>MAZZANTI PRINTCOLOR SRL - 02091850395</v>
      </c>
      <c r="F31" t="str">
        <f>"MAZZANTI PRINTCOLOR SRL - 02091850395"</f>
        <v>MAZZANTI PRINTCOLOR SRL - 02091850395</v>
      </c>
      <c r="G31" t="str">
        <f>"160,00 EUR"</f>
        <v>160,00 EUR</v>
      </c>
      <c r="H31" t="str">
        <f>"28/09/2020 - 10/10/2020"</f>
        <v>28/09/2020 - 10/10/2020</v>
      </c>
      <c r="I31" t="str">
        <f>"160,00 EUR"</f>
        <v>160,00 EUR</v>
      </c>
    </row>
    <row r="32" spans="1:9" x14ac:dyDescent="0.25">
      <c r="A32" t="str">
        <f>"ZF32E61091"</f>
        <v>ZF32E61091</v>
      </c>
      <c r="B32" t="str">
        <f t="shared" si="0"/>
        <v>Automobile Club di Ravenna (ACRavenna) - 00085710390</v>
      </c>
      <c r="C32" t="str">
        <f>"ACQUISTO SOFTWARE 770"</f>
        <v>ACQUISTO SOFTWARE 770</v>
      </c>
      <c r="D32" t="str">
        <f t="shared" si="1"/>
        <v>23-AFFIDAMENTO DIRETTO</v>
      </c>
      <c r="E32" t="str">
        <f>"FORMULA IMPRESOFT SRL - 05488960013"</f>
        <v>FORMULA IMPRESOFT SRL - 05488960013</v>
      </c>
      <c r="F32" t="str">
        <f>"FORMULA IMPRESOFT SRL - 05488960013"</f>
        <v>FORMULA IMPRESOFT SRL - 05488960013</v>
      </c>
      <c r="G32" t="str">
        <f>"392,50 EUR"</f>
        <v>392,50 EUR</v>
      </c>
      <c r="H32" t="str">
        <f>""</f>
        <v/>
      </c>
      <c r="I32" t="str">
        <f t="shared" ref="I32:I44" si="8">"0,00 EUR"</f>
        <v>0,00 EUR</v>
      </c>
    </row>
    <row r="33" spans="1:9" x14ac:dyDescent="0.25">
      <c r="A33" t="str">
        <f>"Z8F2E60D25"</f>
        <v>Z8F2E60D25</v>
      </c>
      <c r="B33" t="str">
        <f t="shared" si="0"/>
        <v>Automobile Club di Ravenna (ACRavenna) - 00085710390</v>
      </c>
      <c r="C33" t="str">
        <f>"AFFIDAMENTO SERVIZIO SORVEGLIANZA SANITARIA"</f>
        <v>AFFIDAMENTO SERVIZIO SORVEGLIANZA SANITARIA</v>
      </c>
      <c r="D33" t="str">
        <f t="shared" si="1"/>
        <v>23-AFFIDAMENTO DIRETTO</v>
      </c>
      <c r="E33" t="str">
        <f>"ECHOS ENGINEERING SRL - 02003550395"</f>
        <v>ECHOS ENGINEERING SRL - 02003550395</v>
      </c>
      <c r="F33" t="str">
        <f>"ECHOS ENGINEERING SRL - 02003550395"</f>
        <v>ECHOS ENGINEERING SRL - 02003550395</v>
      </c>
      <c r="G33" t="str">
        <f>"450,00 EUR"</f>
        <v>450,00 EUR</v>
      </c>
      <c r="H33" t="str">
        <f>""</f>
        <v/>
      </c>
      <c r="I33" t="str">
        <f t="shared" si="8"/>
        <v>0,00 EUR</v>
      </c>
    </row>
    <row r="34" spans="1:9" x14ac:dyDescent="0.25">
      <c r="A34" t="str">
        <f>"Z402E60C71"</f>
        <v>Z402E60C71</v>
      </c>
      <c r="B34" t="str">
        <f t="shared" si="0"/>
        <v>Automobile Club di Ravenna (ACRavenna) - 00085710390</v>
      </c>
      <c r="C34" t="str">
        <f>"ACQUISTO OMAGGI SOCIALI"</f>
        <v>ACQUISTO OMAGGI SOCIALI</v>
      </c>
      <c r="D34" t="str">
        <f t="shared" ref="D34:D65" si="9">"23-AFFIDAMENTO DIRETTO"</f>
        <v>23-AFFIDAMENTO DIRETTO</v>
      </c>
      <c r="E34" t="str">
        <f>"BEREADY S.R.L. - 05193110961"</f>
        <v>BEREADY S.R.L. - 05193110961</v>
      </c>
      <c r="F34" t="str">
        <f>"BEREADY S.R.L. - 05193110961"</f>
        <v>BEREADY S.R.L. - 05193110961</v>
      </c>
      <c r="G34" t="str">
        <f>"5.340,00 EUR"</f>
        <v>5.340,00 EUR</v>
      </c>
      <c r="H34" t="str">
        <f>""</f>
        <v/>
      </c>
      <c r="I34" t="str">
        <f t="shared" si="8"/>
        <v>0,00 EUR</v>
      </c>
    </row>
    <row r="35" spans="1:9" x14ac:dyDescent="0.25">
      <c r="A35" t="str">
        <f>"ZA82E2D85E"</f>
        <v>ZA82E2D85E</v>
      </c>
      <c r="B35" t="str">
        <f t="shared" si="0"/>
        <v>Automobile Club di Ravenna (ACRavenna) - 00085710390</v>
      </c>
      <c r="C35" t="str">
        <f>"ELABORAZIONE FILE BOLSE"</f>
        <v>ELABORAZIONE FILE BOLSE</v>
      </c>
      <c r="D35" t="str">
        <f t="shared" si="9"/>
        <v>23-AFFIDAMENTO DIRETTO</v>
      </c>
      <c r="E35" t="str">
        <f t="shared" ref="E35:F37" si="10">"GAMMA INDIRIZZI SRL - 01048250391"</f>
        <v>GAMMA INDIRIZZI SRL - 01048250391</v>
      </c>
      <c r="F35" t="str">
        <f t="shared" si="10"/>
        <v>GAMMA INDIRIZZI SRL - 01048250391</v>
      </c>
      <c r="G35" t="str">
        <f>"573,00 EUR"</f>
        <v>573,00 EUR</v>
      </c>
      <c r="H35" t="str">
        <f>""</f>
        <v/>
      </c>
      <c r="I35" t="str">
        <f t="shared" si="8"/>
        <v>0,00 EUR</v>
      </c>
    </row>
    <row r="36" spans="1:9" x14ac:dyDescent="0.25">
      <c r="A36" t="str">
        <f>"Z3B2E2D867"</f>
        <v>Z3B2E2D867</v>
      </c>
      <c r="B36" t="str">
        <f t="shared" si="0"/>
        <v>Automobile Club di Ravenna (ACRavenna) - 00085710390</v>
      </c>
      <c r="C36" t="str">
        <f>"ELABORAZIONE FILE SOCI"</f>
        <v>ELABORAZIONE FILE SOCI</v>
      </c>
      <c r="D36" t="str">
        <f t="shared" si="9"/>
        <v>23-AFFIDAMENTO DIRETTO</v>
      </c>
      <c r="E36" t="str">
        <f t="shared" si="10"/>
        <v>GAMMA INDIRIZZI SRL - 01048250391</v>
      </c>
      <c r="F36" t="str">
        <f t="shared" si="10"/>
        <v>GAMMA INDIRIZZI SRL - 01048250391</v>
      </c>
      <c r="G36" t="str">
        <f>"117,00 EUR"</f>
        <v>117,00 EUR</v>
      </c>
      <c r="H36" t="str">
        <f>""</f>
        <v/>
      </c>
      <c r="I36" t="str">
        <f t="shared" si="8"/>
        <v>0,00 EUR</v>
      </c>
    </row>
    <row r="37" spans="1:9" x14ac:dyDescent="0.25">
      <c r="A37" t="str">
        <f>"Z012E2D875"</f>
        <v>Z012E2D875</v>
      </c>
      <c r="B37" t="str">
        <f t="shared" si="0"/>
        <v>Automobile Club di Ravenna (ACRavenna) - 00085710390</v>
      </c>
      <c r="C37" t="str">
        <f>"ELAB FILE PATENTI"</f>
        <v>ELAB FILE PATENTI</v>
      </c>
      <c r="D37" t="str">
        <f t="shared" si="9"/>
        <v>23-AFFIDAMENTO DIRETTO</v>
      </c>
      <c r="E37" t="str">
        <f t="shared" si="10"/>
        <v>GAMMA INDIRIZZI SRL - 01048250391</v>
      </c>
      <c r="F37" t="str">
        <f t="shared" si="10"/>
        <v>GAMMA INDIRIZZI SRL - 01048250391</v>
      </c>
      <c r="G37" t="str">
        <f>"77,00 EUR"</f>
        <v>77,00 EUR</v>
      </c>
      <c r="H37" t="str">
        <f>""</f>
        <v/>
      </c>
      <c r="I37" t="str">
        <f t="shared" si="8"/>
        <v>0,00 EUR</v>
      </c>
    </row>
    <row r="38" spans="1:9" x14ac:dyDescent="0.25">
      <c r="A38" t="str">
        <f>"Z722E2D885"</f>
        <v>Z722E2D885</v>
      </c>
      <c r="B38" t="str">
        <f t="shared" si="0"/>
        <v>Automobile Club di Ravenna (ACRavenna) - 00085710390</v>
      </c>
      <c r="C38" t="str">
        <f>"SERVIZIO RECAPITO BOLSE"</f>
        <v>SERVIZIO RECAPITO BOLSE</v>
      </c>
      <c r="D38" t="str">
        <f t="shared" si="9"/>
        <v>23-AFFIDAMENTO DIRETTO</v>
      </c>
      <c r="E38" t="str">
        <f t="shared" ref="E38:F40" si="11">"FUTURFIL SRL - 02471780391"</f>
        <v>FUTURFIL SRL - 02471780391</v>
      </c>
      <c r="F38" t="str">
        <f t="shared" si="11"/>
        <v>FUTURFIL SRL - 02471780391</v>
      </c>
      <c r="G38" t="str">
        <f>"851,00 EUR"</f>
        <v>851,00 EUR</v>
      </c>
      <c r="H38" t="str">
        <f>""</f>
        <v/>
      </c>
      <c r="I38" t="str">
        <f t="shared" si="8"/>
        <v>0,00 EUR</v>
      </c>
    </row>
    <row r="39" spans="1:9" x14ac:dyDescent="0.25">
      <c r="A39" t="str">
        <f>"ZB02E2D890"</f>
        <v>ZB02E2D890</v>
      </c>
      <c r="B39" t="str">
        <f t="shared" si="0"/>
        <v>Automobile Club di Ravenna (ACRavenna) - 00085710390</v>
      </c>
      <c r="C39" t="str">
        <f>"SERVIZIO RECAPITO SOCI"</f>
        <v>SERVIZIO RECAPITO SOCI</v>
      </c>
      <c r="D39" t="str">
        <f t="shared" si="9"/>
        <v>23-AFFIDAMENTO DIRETTO</v>
      </c>
      <c r="E39" t="str">
        <f t="shared" si="11"/>
        <v>FUTURFIL SRL - 02471780391</v>
      </c>
      <c r="F39" t="str">
        <f t="shared" si="11"/>
        <v>FUTURFIL SRL - 02471780391</v>
      </c>
      <c r="G39" t="str">
        <f>"138,00 EUR"</f>
        <v>138,00 EUR</v>
      </c>
      <c r="H39" t="str">
        <f>""</f>
        <v/>
      </c>
      <c r="I39" t="str">
        <f t="shared" si="8"/>
        <v>0,00 EUR</v>
      </c>
    </row>
    <row r="40" spans="1:9" x14ac:dyDescent="0.25">
      <c r="A40" t="str">
        <f>"Z6B2E2D898"</f>
        <v>Z6B2E2D898</v>
      </c>
      <c r="B40" t="str">
        <f t="shared" si="0"/>
        <v>Automobile Club di Ravenna (ACRavenna) - 00085710390</v>
      </c>
      <c r="C40" t="str">
        <f>"SERVIZIO RECAPITO PATENTI"</f>
        <v>SERVIZIO RECAPITO PATENTI</v>
      </c>
      <c r="D40" t="str">
        <f t="shared" si="9"/>
        <v>23-AFFIDAMENTO DIRETTO</v>
      </c>
      <c r="E40" t="str">
        <f t="shared" si="11"/>
        <v>FUTURFIL SRL - 02471780391</v>
      </c>
      <c r="F40" t="str">
        <f t="shared" si="11"/>
        <v>FUTURFIL SRL - 02471780391</v>
      </c>
      <c r="G40" t="str">
        <f>"301,00 EUR"</f>
        <v>301,00 EUR</v>
      </c>
      <c r="H40" t="str">
        <f>""</f>
        <v/>
      </c>
      <c r="I40" t="str">
        <f t="shared" si="8"/>
        <v>0,00 EUR</v>
      </c>
    </row>
    <row r="41" spans="1:9" x14ac:dyDescent="0.25">
      <c r="A41" t="str">
        <f>"ZED2DC9836"</f>
        <v>ZED2DC9836</v>
      </c>
      <c r="B41" t="str">
        <f t="shared" si="0"/>
        <v>Automobile Club di Ravenna (ACRavenna) - 00085710390</v>
      </c>
      <c r="C41" t="str">
        <f>"ELAB FILE BOLSE"</f>
        <v>ELAB FILE BOLSE</v>
      </c>
      <c r="D41" t="str">
        <f t="shared" si="9"/>
        <v>23-AFFIDAMENTO DIRETTO</v>
      </c>
      <c r="E41" t="str">
        <f>"GAMMA INDIRIZZI SRL - 01048250391"</f>
        <v>GAMMA INDIRIZZI SRL - 01048250391</v>
      </c>
      <c r="F41" t="str">
        <f>"GAMMA INDIRIZZI SRL - 01048250391"</f>
        <v>GAMMA INDIRIZZI SRL - 01048250391</v>
      </c>
      <c r="G41" t="str">
        <f>"245,00 EUR"</f>
        <v>245,00 EUR</v>
      </c>
      <c r="H41" t="str">
        <f>"25/07/2020 - 10/08/2020"</f>
        <v>25/07/2020 - 10/08/2020</v>
      </c>
      <c r="I41" t="str">
        <f t="shared" si="8"/>
        <v>0,00 EUR</v>
      </c>
    </row>
    <row r="42" spans="1:9" x14ac:dyDescent="0.25">
      <c r="A42" t="str">
        <f>"ZEA2DFFC19"</f>
        <v>ZEA2DFFC19</v>
      </c>
      <c r="B42" t="str">
        <f t="shared" si="0"/>
        <v>Automobile Club di Ravenna (ACRavenna) - 00085710390</v>
      </c>
      <c r="C42" t="str">
        <f>"AFFIDAMENTO SERVIZIO RECAPITO CORRISPONDENZA"</f>
        <v>AFFIDAMENTO SERVIZIO RECAPITO CORRISPONDENZA</v>
      </c>
      <c r="D42" t="str">
        <f t="shared" si="9"/>
        <v>23-AFFIDAMENTO DIRETTO</v>
      </c>
      <c r="E42" t="str">
        <f>"FUTURFIL SRL - 02471780391"</f>
        <v>FUTURFIL SRL - 02471780391</v>
      </c>
      <c r="F42" t="str">
        <f>"FUTURFIL SRL - 02471780391"</f>
        <v>FUTURFIL SRL - 02471780391</v>
      </c>
      <c r="G42" t="str">
        <f>"39.000,00 EUR"</f>
        <v>39.000,00 EUR</v>
      </c>
      <c r="H42" t="str">
        <f>""</f>
        <v/>
      </c>
      <c r="I42" t="str">
        <f t="shared" si="8"/>
        <v>0,00 EUR</v>
      </c>
    </row>
    <row r="43" spans="1:9" x14ac:dyDescent="0.25">
      <c r="A43" t="str">
        <f>"ZA52DFFC21"</f>
        <v>ZA52DFFC21</v>
      </c>
      <c r="B43" t="str">
        <f t="shared" si="0"/>
        <v>Automobile Club di Ravenna (ACRavenna) - 00085710390</v>
      </c>
      <c r="C43" t="str">
        <f>"AFFIDAMENTO STAMPA E CONFEZIONAMENTO CORRISPONDENZA"</f>
        <v>AFFIDAMENTO STAMPA E CONFEZIONAMENTO CORRISPONDENZA</v>
      </c>
      <c r="D43" t="str">
        <f t="shared" si="9"/>
        <v>23-AFFIDAMENTO DIRETTO</v>
      </c>
      <c r="E43" t="str">
        <f>"GAMMA INDIRIZZI SRL - 01048250391"</f>
        <v>GAMMA INDIRIZZI SRL - 01048250391</v>
      </c>
      <c r="F43" t="str">
        <f>"GAMMA INDIRIZZI SRL - 01048250391"</f>
        <v>GAMMA INDIRIZZI SRL - 01048250391</v>
      </c>
      <c r="G43" t="str">
        <f>"28.500,00 EUR"</f>
        <v>28.500,00 EUR</v>
      </c>
      <c r="H43" t="str">
        <f>""</f>
        <v/>
      </c>
      <c r="I43" t="str">
        <f t="shared" si="8"/>
        <v>0,00 EUR</v>
      </c>
    </row>
    <row r="44" spans="1:9" x14ac:dyDescent="0.25">
      <c r="A44" t="str">
        <f>"Z0C2DFD2E4"</f>
        <v>Z0C2DFD2E4</v>
      </c>
      <c r="B44" t="str">
        <f t="shared" si="0"/>
        <v>Automobile Club di Ravenna (ACRavenna) - 00085710390</v>
      </c>
      <c r="C44" t="str">
        <f>"CONTROLLO PERIODICO ESTINTORI"</f>
        <v>CONTROLLO PERIODICO ESTINTORI</v>
      </c>
      <c r="D44" t="str">
        <f t="shared" si="9"/>
        <v>23-AFFIDAMENTO DIRETTO</v>
      </c>
      <c r="E44" t="str">
        <f>"NUOVA OLP IMPIANTI SRL - 01478520396"</f>
        <v>NUOVA OLP IMPIANTI SRL - 01478520396</v>
      </c>
      <c r="F44" t="str">
        <f>"NUOVA OLP IMPIANTI SRL - 01478520396"</f>
        <v>NUOVA OLP IMPIANTI SRL - 01478520396</v>
      </c>
      <c r="G44" t="str">
        <f>"74,00 EUR"</f>
        <v>74,00 EUR</v>
      </c>
      <c r="H44" t="str">
        <f>""</f>
        <v/>
      </c>
      <c r="I44" t="str">
        <f t="shared" si="8"/>
        <v>0,00 EUR</v>
      </c>
    </row>
    <row r="45" spans="1:9" x14ac:dyDescent="0.25">
      <c r="A45" t="str">
        <f>"Z0F268AF47"</f>
        <v>Z0F268AF47</v>
      </c>
      <c r="B45" t="str">
        <f t="shared" ref="B45:B108" si="12">"AC Ravenna - 00085710390"</f>
        <v>AC Ravenna - 00085710390</v>
      </c>
      <c r="C45" t="str">
        <f>"SERVIZIO SICUREZZA 2018"</f>
        <v>SERVIZIO SICUREZZA 2018</v>
      </c>
      <c r="D45" t="str">
        <f t="shared" si="9"/>
        <v>23-AFFIDAMENTO DIRETTO</v>
      </c>
      <c r="E45" t="str">
        <f>"ECHOS ENGINEERING SRL - 02003550395"</f>
        <v>ECHOS ENGINEERING SRL - 02003550395</v>
      </c>
      <c r="F45" t="str">
        <f>"ECHOS ENGINEERING SRL - 02003550395"</f>
        <v>ECHOS ENGINEERING SRL - 02003550395</v>
      </c>
      <c r="G45" t="str">
        <f>"480,00 EUR"</f>
        <v>480,00 EUR</v>
      </c>
      <c r="H45" t="str">
        <f>"29/12/2018 - 29/01/2019"</f>
        <v>29/12/2018 - 29/01/2019</v>
      </c>
      <c r="I45" t="str">
        <f>"480,00 EUR"</f>
        <v>480,00 EUR</v>
      </c>
    </row>
    <row r="46" spans="1:9" x14ac:dyDescent="0.25">
      <c r="A46" t="str">
        <f>"Z2A2682C4F"</f>
        <v>Z2A2682C4F</v>
      </c>
      <c r="B46" t="str">
        <f t="shared" si="12"/>
        <v>AC Ravenna - 00085710390</v>
      </c>
      <c r="C46" t="str">
        <f>"SERVIZIO ELAB BOLSE"</f>
        <v>SERVIZIO ELAB BOLSE</v>
      </c>
      <c r="D46" t="str">
        <f t="shared" si="9"/>
        <v>23-AFFIDAMENTO DIRETTO</v>
      </c>
      <c r="E46" t="str">
        <f t="shared" ref="E46:F48" si="13">"GAMMA INDIRIZZI SRL - 01048250391"</f>
        <v>GAMMA INDIRIZZI SRL - 01048250391</v>
      </c>
      <c r="F46" t="str">
        <f t="shared" si="13"/>
        <v>GAMMA INDIRIZZI SRL - 01048250391</v>
      </c>
      <c r="G46" t="str">
        <f>"634,00 EUR"</f>
        <v>634,00 EUR</v>
      </c>
      <c r="H46" t="str">
        <f t="shared" ref="H46:H51" si="14">"27/12/2018 - 27/01/2019"</f>
        <v>27/12/2018 - 27/01/2019</v>
      </c>
      <c r="I46" t="str">
        <f>"634,00 EUR"</f>
        <v>634,00 EUR</v>
      </c>
    </row>
    <row r="47" spans="1:9" x14ac:dyDescent="0.25">
      <c r="A47" t="str">
        <f>"Z892682C6C"</f>
        <v>Z892682C6C</v>
      </c>
      <c r="B47" t="str">
        <f t="shared" si="12"/>
        <v>AC Ravenna - 00085710390</v>
      </c>
      <c r="C47" t="str">
        <f>"SERVIZIO ELAB SOCI"</f>
        <v>SERVIZIO ELAB SOCI</v>
      </c>
      <c r="D47" t="str">
        <f t="shared" si="9"/>
        <v>23-AFFIDAMENTO DIRETTO</v>
      </c>
      <c r="E47" t="str">
        <f t="shared" si="13"/>
        <v>GAMMA INDIRIZZI SRL - 01048250391</v>
      </c>
      <c r="F47" t="str">
        <f t="shared" si="13"/>
        <v>GAMMA INDIRIZZI SRL - 01048250391</v>
      </c>
      <c r="G47" t="str">
        <f>"339,00 EUR"</f>
        <v>339,00 EUR</v>
      </c>
      <c r="H47" t="str">
        <f t="shared" si="14"/>
        <v>27/12/2018 - 27/01/2019</v>
      </c>
      <c r="I47" t="str">
        <f>"339,00 EUR"</f>
        <v>339,00 EUR</v>
      </c>
    </row>
    <row r="48" spans="1:9" x14ac:dyDescent="0.25">
      <c r="A48" t="str">
        <f>"ZAA2682C7E"</f>
        <v>ZAA2682C7E</v>
      </c>
      <c r="B48" t="str">
        <f t="shared" si="12"/>
        <v>AC Ravenna - 00085710390</v>
      </c>
      <c r="C48" t="str">
        <f>"SERVIZIO ELAB PATENTI"</f>
        <v>SERVIZIO ELAB PATENTI</v>
      </c>
      <c r="D48" t="str">
        <f t="shared" si="9"/>
        <v>23-AFFIDAMENTO DIRETTO</v>
      </c>
      <c r="E48" t="str">
        <f t="shared" si="13"/>
        <v>GAMMA INDIRIZZI SRL - 01048250391</v>
      </c>
      <c r="F48" t="str">
        <f t="shared" si="13"/>
        <v>GAMMA INDIRIZZI SRL - 01048250391</v>
      </c>
      <c r="G48" t="str">
        <f>"309,00 EUR"</f>
        <v>309,00 EUR</v>
      </c>
      <c r="H48" t="str">
        <f t="shared" si="14"/>
        <v>27/12/2018 - 27/01/2019</v>
      </c>
      <c r="I48" t="str">
        <f>"309,00 EUR"</f>
        <v>309,00 EUR</v>
      </c>
    </row>
    <row r="49" spans="1:9" x14ac:dyDescent="0.25">
      <c r="A49" t="str">
        <f>"Z552683204"</f>
        <v>Z552683204</v>
      </c>
      <c r="B49" t="str">
        <f t="shared" si="12"/>
        <v>AC Ravenna - 00085710390</v>
      </c>
      <c r="C49" t="str">
        <f>"RECAPITO BOLSE"</f>
        <v>RECAPITO BOLSE</v>
      </c>
      <c r="D49" t="str">
        <f t="shared" si="9"/>
        <v>23-AFFIDAMENTO DIRETTO</v>
      </c>
      <c r="E49" t="str">
        <f t="shared" ref="E49:F51" si="15">"FUTURFIL SRL - 02471780391"</f>
        <v>FUTURFIL SRL - 02471780391</v>
      </c>
      <c r="F49" t="str">
        <f t="shared" si="15"/>
        <v>FUTURFIL SRL - 02471780391</v>
      </c>
      <c r="G49" t="str">
        <f>"947,00 EUR"</f>
        <v>947,00 EUR</v>
      </c>
      <c r="H49" t="str">
        <f t="shared" si="14"/>
        <v>27/12/2018 - 27/01/2019</v>
      </c>
      <c r="I49" t="str">
        <f>"947,00 EUR"</f>
        <v>947,00 EUR</v>
      </c>
    </row>
    <row r="50" spans="1:9" x14ac:dyDescent="0.25">
      <c r="A50" t="str">
        <f>"Z762683216"</f>
        <v>Z762683216</v>
      </c>
      <c r="B50" t="str">
        <f t="shared" si="12"/>
        <v>AC Ravenna - 00085710390</v>
      </c>
      <c r="C50" t="str">
        <f>"RECAPITO SOCI"</f>
        <v>RECAPITO SOCI</v>
      </c>
      <c r="D50" t="str">
        <f t="shared" si="9"/>
        <v>23-AFFIDAMENTO DIRETTO</v>
      </c>
      <c r="E50" t="str">
        <f t="shared" si="15"/>
        <v>FUTURFIL SRL - 02471780391</v>
      </c>
      <c r="F50" t="str">
        <f t="shared" si="15"/>
        <v>FUTURFIL SRL - 02471780391</v>
      </c>
      <c r="G50" t="str">
        <f>"176,00 EUR"</f>
        <v>176,00 EUR</v>
      </c>
      <c r="H50" t="str">
        <f t="shared" si="14"/>
        <v>27/12/2018 - 27/01/2019</v>
      </c>
      <c r="I50" t="str">
        <f>"176,00 EUR"</f>
        <v>176,00 EUR</v>
      </c>
    </row>
    <row r="51" spans="1:9" x14ac:dyDescent="0.25">
      <c r="A51" t="str">
        <f>"Z972683228"</f>
        <v>Z972683228</v>
      </c>
      <c r="B51" t="str">
        <f t="shared" si="12"/>
        <v>AC Ravenna - 00085710390</v>
      </c>
      <c r="C51" t="str">
        <f>"RECAPITO PANTENTI"</f>
        <v>RECAPITO PANTENTI</v>
      </c>
      <c r="D51" t="str">
        <f t="shared" si="9"/>
        <v>23-AFFIDAMENTO DIRETTO</v>
      </c>
      <c r="E51" t="str">
        <f t="shared" si="15"/>
        <v>FUTURFIL SRL - 02471780391</v>
      </c>
      <c r="F51" t="str">
        <f t="shared" si="15"/>
        <v>FUTURFIL SRL - 02471780391</v>
      </c>
      <c r="G51" t="str">
        <f>"351,00 EUR"</f>
        <v>351,00 EUR</v>
      </c>
      <c r="H51" t="str">
        <f t="shared" si="14"/>
        <v>27/12/2018 - 27/01/2019</v>
      </c>
      <c r="I51" t="str">
        <f>"351,00 EUR"</f>
        <v>351,00 EUR</v>
      </c>
    </row>
    <row r="52" spans="1:9" x14ac:dyDescent="0.25">
      <c r="A52" t="str">
        <f>"Z242679E7C"</f>
        <v>Z242679E7C</v>
      </c>
      <c r="B52" t="str">
        <f t="shared" si="12"/>
        <v>AC Ravenna - 00085710390</v>
      </c>
      <c r="C52" t="str">
        <f>"CONSULENZA"</f>
        <v>CONSULENZA</v>
      </c>
      <c r="D52" t="str">
        <f t="shared" si="9"/>
        <v>23-AFFIDAMENTO DIRETTO</v>
      </c>
      <c r="E52" t="str">
        <f>"SAYES SC.TRA PROFESSIONISTI - 02550640391"</f>
        <v>SAYES SC.TRA PROFESSIONISTI - 02550640391</v>
      </c>
      <c r="F52" t="str">
        <f>"SAYES SC.TRA PROFESSIONISTI - 02550640391"</f>
        <v>SAYES SC.TRA PROFESSIONISTI - 02550640391</v>
      </c>
      <c r="G52" t="str">
        <f>"0,00 EUR"</f>
        <v>0,00 EUR</v>
      </c>
      <c r="H52" t="str">
        <f>"21/12/2018 - 31/12/2018"</f>
        <v>21/12/2018 - 31/12/2018</v>
      </c>
      <c r="I52" t="str">
        <f>"1.340,00 EUR"</f>
        <v>1.340,00 EUR</v>
      </c>
    </row>
    <row r="53" spans="1:9" x14ac:dyDescent="0.25">
      <c r="A53" t="str">
        <f>"Z552644BE6"</f>
        <v>Z552644BE6</v>
      </c>
      <c r="B53" t="str">
        <f t="shared" si="12"/>
        <v>AC Ravenna - 00085710390</v>
      </c>
      <c r="C53" t="str">
        <f>"ACQUISTO OMAGGIO SOCIALE"</f>
        <v>ACQUISTO OMAGGIO SOCIALE</v>
      </c>
      <c r="D53" t="str">
        <f t="shared" si="9"/>
        <v>23-AFFIDAMENTO DIRETTO</v>
      </c>
      <c r="E53" t="str">
        <f>"BEREADY S.R.L. - 05193110961"</f>
        <v>BEREADY S.R.L. - 05193110961</v>
      </c>
      <c r="F53" t="str">
        <f>"BEREADY S.R.L. - 05193110961"</f>
        <v>BEREADY S.R.L. - 05193110961</v>
      </c>
      <c r="G53" t="str">
        <f>"0,00 EUR"</f>
        <v>0,00 EUR</v>
      </c>
      <c r="H53" t="str">
        <f>"21/12/2018 - 22/01/2019"</f>
        <v>21/12/2018 - 22/01/2019</v>
      </c>
      <c r="I53" t="str">
        <f>"12.050,00 EUR"</f>
        <v>12.050,00 EUR</v>
      </c>
    </row>
    <row r="54" spans="1:9" x14ac:dyDescent="0.25">
      <c r="A54" t="str">
        <f>"Z9D262665D"</f>
        <v>Z9D262665D</v>
      </c>
      <c r="B54" t="str">
        <f t="shared" si="12"/>
        <v>AC Ravenna - 00085710390</v>
      </c>
      <c r="C54" t="str">
        <f>"MODULISTICA PERSONALIZZATA"</f>
        <v>MODULISTICA PERSONALIZZATA</v>
      </c>
      <c r="D54" t="str">
        <f t="shared" si="9"/>
        <v>23-AFFIDAMENTO DIRETTO</v>
      </c>
      <c r="E54" t="str">
        <f>"MAZZANTI PRINTCOLOR SRL - 02091850395"</f>
        <v>MAZZANTI PRINTCOLOR SRL - 02091850395</v>
      </c>
      <c r="F54" t="str">
        <f>"MAZZANTI PRINTCOLOR SRL - 02091850395"</f>
        <v>MAZZANTI PRINTCOLOR SRL - 02091850395</v>
      </c>
      <c r="G54" t="str">
        <f>"0,00 EUR"</f>
        <v>0,00 EUR</v>
      </c>
      <c r="H54" t="str">
        <f>"06/12/2018 - 06/01/2019"</f>
        <v>06/12/2018 - 06/01/2019</v>
      </c>
      <c r="I54" t="str">
        <f>"150,00 EUR"</f>
        <v>150,00 EUR</v>
      </c>
    </row>
    <row r="55" spans="1:9" x14ac:dyDescent="0.25">
      <c r="A55" t="str">
        <f>"ZF52619A9D"</f>
        <v>ZF52619A9D</v>
      </c>
      <c r="B55" t="str">
        <f t="shared" si="12"/>
        <v>AC Ravenna - 00085710390</v>
      </c>
      <c r="C55" t="str">
        <f>"ASSISTENZA HOSTING"</f>
        <v>ASSISTENZA HOSTING</v>
      </c>
      <c r="D55" t="str">
        <f t="shared" si="9"/>
        <v>23-AFFIDAMENTO DIRETTO</v>
      </c>
      <c r="E55" t="str">
        <f>"FARNEDI ICT SRL - 03840520401"</f>
        <v>FARNEDI ICT SRL - 03840520401</v>
      </c>
      <c r="F55" t="str">
        <f>"FARNEDI ICT SRL - 03840520401"</f>
        <v>FARNEDI ICT SRL - 03840520401</v>
      </c>
      <c r="G55" t="str">
        <f>"795,00 EUR"</f>
        <v>795,00 EUR</v>
      </c>
      <c r="H55" t="str">
        <f>"04/12/2018 - 31/12/2018"</f>
        <v>04/12/2018 - 31/12/2018</v>
      </c>
      <c r="I55" t="str">
        <f>"795,00 EUR"</f>
        <v>795,00 EUR</v>
      </c>
    </row>
    <row r="56" spans="1:9" x14ac:dyDescent="0.25">
      <c r="A56" t="str">
        <f>"Z14260E26E"</f>
        <v>Z14260E26E</v>
      </c>
      <c r="B56" t="str">
        <f t="shared" si="12"/>
        <v>AC Ravenna - 00085710390</v>
      </c>
      <c r="C56" t="str">
        <f>"SOFTWARE ANTIVIRUS"</f>
        <v>SOFTWARE ANTIVIRUS</v>
      </c>
      <c r="D56" t="str">
        <f t="shared" si="9"/>
        <v>23-AFFIDAMENTO DIRETTO</v>
      </c>
      <c r="E56" t="str">
        <f>"IMPRESOFT S.R.L. - 03186830240"</f>
        <v>IMPRESOFT S.R.L. - 03186830240</v>
      </c>
      <c r="F56" t="str">
        <f>"IMPRESOFT S.R.L. - 03186830240"</f>
        <v>IMPRESOFT S.R.L. - 03186830240</v>
      </c>
      <c r="G56" t="str">
        <f>"176,00 EUR"</f>
        <v>176,00 EUR</v>
      </c>
      <c r="H56" t="str">
        <f>"01/12/2018 - 31/12/2018"</f>
        <v>01/12/2018 - 31/12/2018</v>
      </c>
      <c r="I56" t="str">
        <f>"176,00 EUR"</f>
        <v>176,00 EUR</v>
      </c>
    </row>
    <row r="57" spans="1:9" x14ac:dyDescent="0.25">
      <c r="A57" t="str">
        <f>"Z3625E3C49"</f>
        <v>Z3625E3C49</v>
      </c>
      <c r="B57" t="str">
        <f t="shared" si="12"/>
        <v>AC Ravenna - 00085710390</v>
      </c>
      <c r="C57" t="str">
        <f>"RECAPITO SOCI"</f>
        <v>RECAPITO SOCI</v>
      </c>
      <c r="D57" t="str">
        <f t="shared" si="9"/>
        <v>23-AFFIDAMENTO DIRETTO</v>
      </c>
      <c r="E57" t="str">
        <f t="shared" ref="E57:F59" si="16">"FUTURFIL SRL - 02471780391"</f>
        <v>FUTURFIL SRL - 02471780391</v>
      </c>
      <c r="F57" t="str">
        <f t="shared" si="16"/>
        <v>FUTURFIL SRL - 02471780391</v>
      </c>
      <c r="G57" t="str">
        <f>"136,00 EUR"</f>
        <v>136,00 EUR</v>
      </c>
      <c r="H57" t="str">
        <f t="shared" ref="H57:H63" si="17">"22/11/2018 - 22/12/2018"</f>
        <v>22/11/2018 - 22/12/2018</v>
      </c>
      <c r="I57" t="str">
        <f>"136,00 EUR"</f>
        <v>136,00 EUR</v>
      </c>
    </row>
    <row r="58" spans="1:9" x14ac:dyDescent="0.25">
      <c r="A58" t="str">
        <f>"z1325e3bad"</f>
        <v>z1325e3bad</v>
      </c>
      <c r="B58" t="str">
        <f t="shared" si="12"/>
        <v>AC Ravenna - 00085710390</v>
      </c>
      <c r="C58" t="str">
        <f>"RECAPITO PATENTI"</f>
        <v>RECAPITO PATENTI</v>
      </c>
      <c r="D58" t="str">
        <f t="shared" si="9"/>
        <v>23-AFFIDAMENTO DIRETTO</v>
      </c>
      <c r="E58" t="str">
        <f t="shared" si="16"/>
        <v>FUTURFIL SRL - 02471780391</v>
      </c>
      <c r="F58" t="str">
        <f t="shared" si="16"/>
        <v>FUTURFIL SRL - 02471780391</v>
      </c>
      <c r="G58" t="str">
        <f>"243,00 EUR"</f>
        <v>243,00 EUR</v>
      </c>
      <c r="H58" t="str">
        <f t="shared" si="17"/>
        <v>22/11/2018 - 22/12/2018</v>
      </c>
      <c r="I58" t="str">
        <f>"243,00 EUR"</f>
        <v>243,00 EUR</v>
      </c>
    </row>
    <row r="59" spans="1:9" x14ac:dyDescent="0.25">
      <c r="A59" t="str">
        <f>"Z6C25E3B27"</f>
        <v>Z6C25E3B27</v>
      </c>
      <c r="B59" t="str">
        <f t="shared" si="12"/>
        <v>AC Ravenna - 00085710390</v>
      </c>
      <c r="C59" t="str">
        <f>"RECAPITO BOLSE"</f>
        <v>RECAPITO BOLSE</v>
      </c>
      <c r="D59" t="str">
        <f t="shared" si="9"/>
        <v>23-AFFIDAMENTO DIRETTO</v>
      </c>
      <c r="E59" t="str">
        <f t="shared" si="16"/>
        <v>FUTURFIL SRL - 02471780391</v>
      </c>
      <c r="F59" t="str">
        <f t="shared" si="16"/>
        <v>FUTURFIL SRL - 02471780391</v>
      </c>
      <c r="G59" t="str">
        <f>"243,00 EUR"</f>
        <v>243,00 EUR</v>
      </c>
      <c r="H59" t="str">
        <f t="shared" si="17"/>
        <v>22/11/2018 - 22/12/2018</v>
      </c>
      <c r="I59" t="str">
        <f>"243,00 EUR"</f>
        <v>243,00 EUR</v>
      </c>
    </row>
    <row r="60" spans="1:9" x14ac:dyDescent="0.25">
      <c r="A60" t="str">
        <f>"ZBB25E39E5"</f>
        <v>ZBB25E39E5</v>
      </c>
      <c r="B60" t="str">
        <f t="shared" si="12"/>
        <v>AC Ravenna - 00085710390</v>
      </c>
      <c r="C60" t="str">
        <f>"SERVIZIO ELAB SOCI"</f>
        <v>SERVIZIO ELAB SOCI</v>
      </c>
      <c r="D60" t="str">
        <f t="shared" si="9"/>
        <v>23-AFFIDAMENTO DIRETTO</v>
      </c>
      <c r="E60" t="str">
        <f t="shared" ref="E60:F62" si="18">"GAMMA INDIRIZZI SRL - 01048250391"</f>
        <v>GAMMA INDIRIZZI SRL - 01048250391</v>
      </c>
      <c r="F60" t="str">
        <f t="shared" si="18"/>
        <v>GAMMA INDIRIZZI SRL - 01048250391</v>
      </c>
      <c r="G60" t="str">
        <f>"100,00 EUR"</f>
        <v>100,00 EUR</v>
      </c>
      <c r="H60" t="str">
        <f t="shared" si="17"/>
        <v>22/11/2018 - 22/12/2018</v>
      </c>
      <c r="I60" t="str">
        <f>"100,00 EUR"</f>
        <v>100,00 EUR</v>
      </c>
    </row>
    <row r="61" spans="1:9" x14ac:dyDescent="0.25">
      <c r="A61" t="str">
        <f>"Z1B25E36F8"</f>
        <v>Z1B25E36F8</v>
      </c>
      <c r="B61" t="str">
        <f t="shared" si="12"/>
        <v>AC Ravenna - 00085710390</v>
      </c>
      <c r="C61" t="str">
        <f>"SERVIZIO ELAB PATENTI"</f>
        <v>SERVIZIO ELAB PATENTI</v>
      </c>
      <c r="D61" t="str">
        <f t="shared" si="9"/>
        <v>23-AFFIDAMENTO DIRETTO</v>
      </c>
      <c r="E61" t="str">
        <f t="shared" si="18"/>
        <v>GAMMA INDIRIZZI SRL - 01048250391</v>
      </c>
      <c r="F61" t="str">
        <f t="shared" si="18"/>
        <v>GAMMA INDIRIZZI SRL - 01048250391</v>
      </c>
      <c r="G61" t="str">
        <f>"64,00 EUR"</f>
        <v>64,00 EUR</v>
      </c>
      <c r="H61" t="str">
        <f t="shared" si="17"/>
        <v>22/11/2018 - 22/12/2018</v>
      </c>
      <c r="I61" t="str">
        <f>"64,00 EUR"</f>
        <v>64,00 EUR</v>
      </c>
    </row>
    <row r="62" spans="1:9" x14ac:dyDescent="0.25">
      <c r="A62" t="str">
        <f>"ZA325E365E"</f>
        <v>ZA325E365E</v>
      </c>
      <c r="B62" t="str">
        <f t="shared" si="12"/>
        <v>AC Ravenna - 00085710390</v>
      </c>
      <c r="C62" t="str">
        <f>"SERVIZIO ELAB BOLSE"</f>
        <v>SERVIZIO ELAB BOLSE</v>
      </c>
      <c r="D62" t="str">
        <f t="shared" si="9"/>
        <v>23-AFFIDAMENTO DIRETTO</v>
      </c>
      <c r="E62" t="str">
        <f t="shared" si="18"/>
        <v>GAMMA INDIRIZZI SRL - 01048250391</v>
      </c>
      <c r="F62" t="str">
        <f t="shared" si="18"/>
        <v>GAMMA INDIRIZZI SRL - 01048250391</v>
      </c>
      <c r="G62" t="str">
        <f>"185,00 EUR"</f>
        <v>185,00 EUR</v>
      </c>
      <c r="H62" t="str">
        <f t="shared" si="17"/>
        <v>22/11/2018 - 22/12/2018</v>
      </c>
      <c r="I62" t="str">
        <f>"185,00 EUR"</f>
        <v>185,00 EUR</v>
      </c>
    </row>
    <row r="63" spans="1:9" x14ac:dyDescent="0.25">
      <c r="A63" t="str">
        <f>"ZD625E317C"</f>
        <v>ZD625E317C</v>
      </c>
      <c r="B63" t="str">
        <f t="shared" si="12"/>
        <v>AC Ravenna - 00085710390</v>
      </c>
      <c r="C63" t="str">
        <f>"ACQUISTO SOFTWARE"</f>
        <v>ACQUISTO SOFTWARE</v>
      </c>
      <c r="D63" t="str">
        <f t="shared" si="9"/>
        <v>23-AFFIDAMENTO DIRETTO</v>
      </c>
      <c r="E63" t="str">
        <f>"IMPRESOFT S.R.L. - 03186830240"</f>
        <v>IMPRESOFT S.R.L. - 03186830240</v>
      </c>
      <c r="F63" t="str">
        <f>"IMPRESOFT S.R.L. - 03186830240"</f>
        <v>IMPRESOFT S.R.L. - 03186830240</v>
      </c>
      <c r="G63" t="str">
        <f>"1.250,00 EUR"</f>
        <v>1.250,00 EUR</v>
      </c>
      <c r="H63" t="str">
        <f t="shared" si="17"/>
        <v>22/11/2018 - 22/12/2018</v>
      </c>
      <c r="I63" t="str">
        <f>"1.250,00 EUR"</f>
        <v>1.250,00 EUR</v>
      </c>
    </row>
    <row r="64" spans="1:9" x14ac:dyDescent="0.25">
      <c r="A64" t="str">
        <f>"Z0B258B896"</f>
        <v>Z0B258B896</v>
      </c>
      <c r="B64" t="str">
        <f t="shared" si="12"/>
        <v>AC Ravenna - 00085710390</v>
      </c>
      <c r="C64" t="str">
        <f>"SERVIZIO ELAB. BOLSE"</f>
        <v>SERVIZIO ELAB. BOLSE</v>
      </c>
      <c r="D64" t="str">
        <f t="shared" si="9"/>
        <v>23-AFFIDAMENTO DIRETTO</v>
      </c>
      <c r="E64" t="str">
        <f t="shared" ref="E64:F66" si="19">"GAMMA INDIRIZZI SRL - 01048250391"</f>
        <v>GAMMA INDIRIZZI SRL - 01048250391</v>
      </c>
      <c r="F64" t="str">
        <f t="shared" si="19"/>
        <v>GAMMA INDIRIZZI SRL - 01048250391</v>
      </c>
      <c r="G64" t="str">
        <f>"561,00 EUR"</f>
        <v>561,00 EUR</v>
      </c>
      <c r="H64" t="str">
        <f t="shared" ref="H64:H70" si="20">"30/10/2018 - 30/11/2018"</f>
        <v>30/10/2018 - 30/11/2018</v>
      </c>
      <c r="I64" t="str">
        <f>"561,00 EUR"</f>
        <v>561,00 EUR</v>
      </c>
    </row>
    <row r="65" spans="1:9" x14ac:dyDescent="0.25">
      <c r="A65" t="str">
        <f>"Z2C258B9A3"</f>
        <v>Z2C258B9A3</v>
      </c>
      <c r="B65" t="str">
        <f t="shared" si="12"/>
        <v>AC Ravenna - 00085710390</v>
      </c>
      <c r="C65" t="str">
        <f>"SERVIZIO ELAB. SOCI"</f>
        <v>SERVIZIO ELAB. SOCI</v>
      </c>
      <c r="D65" t="str">
        <f t="shared" si="9"/>
        <v>23-AFFIDAMENTO DIRETTO</v>
      </c>
      <c r="E65" t="str">
        <f t="shared" si="19"/>
        <v>GAMMA INDIRIZZI SRL - 01048250391</v>
      </c>
      <c r="F65" t="str">
        <f t="shared" si="19"/>
        <v>GAMMA INDIRIZZI SRL - 01048250391</v>
      </c>
      <c r="G65" t="str">
        <f>"120,00 EUR"</f>
        <v>120,00 EUR</v>
      </c>
      <c r="H65" t="str">
        <f t="shared" si="20"/>
        <v>30/10/2018 - 30/11/2018</v>
      </c>
      <c r="I65" t="str">
        <f>"120,00 EUR"</f>
        <v>120,00 EUR</v>
      </c>
    </row>
    <row r="66" spans="1:9" x14ac:dyDescent="0.25">
      <c r="A66" t="str">
        <f>"Z98258BA50"</f>
        <v>Z98258BA50</v>
      </c>
      <c r="B66" t="str">
        <f t="shared" si="12"/>
        <v>AC Ravenna - 00085710390</v>
      </c>
      <c r="C66" t="str">
        <f>"SERVIZIO ELAB PATENTI"</f>
        <v>SERVIZIO ELAB PATENTI</v>
      </c>
      <c r="D66" t="str">
        <f t="shared" ref="D66:D97" si="21">"23-AFFIDAMENTO DIRETTO"</f>
        <v>23-AFFIDAMENTO DIRETTO</v>
      </c>
      <c r="E66" t="str">
        <f t="shared" si="19"/>
        <v>GAMMA INDIRIZZI SRL - 01048250391</v>
      </c>
      <c r="F66" t="str">
        <f t="shared" si="19"/>
        <v>GAMMA INDIRIZZI SRL - 01048250391</v>
      </c>
      <c r="G66" t="str">
        <f>"72,00 EUR"</f>
        <v>72,00 EUR</v>
      </c>
      <c r="H66" t="str">
        <f t="shared" si="20"/>
        <v>30/10/2018 - 30/11/2018</v>
      </c>
      <c r="I66" t="str">
        <f>"72,00 EUR"</f>
        <v>72,00 EUR</v>
      </c>
    </row>
    <row r="67" spans="1:9" x14ac:dyDescent="0.25">
      <c r="A67" t="str">
        <f>"Z0B258BB87"</f>
        <v>Z0B258BB87</v>
      </c>
      <c r="B67" t="str">
        <f t="shared" si="12"/>
        <v>AC Ravenna - 00085710390</v>
      </c>
      <c r="C67" t="str">
        <f>"RECAPITO PANTENTI"</f>
        <v>RECAPITO PANTENTI</v>
      </c>
      <c r="D67" t="str">
        <f t="shared" si="21"/>
        <v>23-AFFIDAMENTO DIRETTO</v>
      </c>
      <c r="E67" t="str">
        <f t="shared" ref="E67:F69" si="22">"FUTURFIL SRL - 02471780391"</f>
        <v>FUTURFIL SRL - 02471780391</v>
      </c>
      <c r="F67" t="str">
        <f t="shared" si="22"/>
        <v>FUTURFIL SRL - 02471780391</v>
      </c>
      <c r="G67" t="str">
        <f>"276,00 EUR"</f>
        <v>276,00 EUR</v>
      </c>
      <c r="H67" t="str">
        <f t="shared" si="20"/>
        <v>30/10/2018 - 30/11/2018</v>
      </c>
      <c r="I67" t="str">
        <f>"276,00 EUR"</f>
        <v>276,00 EUR</v>
      </c>
    </row>
    <row r="68" spans="1:9" x14ac:dyDescent="0.25">
      <c r="A68" t="str">
        <f>"ZE0258BB17"</f>
        <v>ZE0258BB17</v>
      </c>
      <c r="B68" t="str">
        <f t="shared" si="12"/>
        <v>AC Ravenna - 00085710390</v>
      </c>
      <c r="C68" t="str">
        <f>"RECAPITO SOCI"</f>
        <v>RECAPITO SOCI</v>
      </c>
      <c r="D68" t="str">
        <f t="shared" si="21"/>
        <v>23-AFFIDAMENTO DIRETTO</v>
      </c>
      <c r="E68" t="str">
        <f t="shared" si="22"/>
        <v>FUTURFIL SRL - 02471780391</v>
      </c>
      <c r="F68" t="str">
        <f t="shared" si="22"/>
        <v>FUTURFIL SRL - 02471780391</v>
      </c>
      <c r="G68" t="str">
        <f>"149,00 EUR"</f>
        <v>149,00 EUR</v>
      </c>
      <c r="H68" t="str">
        <f t="shared" si="20"/>
        <v>30/10/2018 - 30/11/2018</v>
      </c>
      <c r="I68" t="str">
        <f>"149,00 EUR"</f>
        <v>149,00 EUR</v>
      </c>
    </row>
    <row r="69" spans="1:9" x14ac:dyDescent="0.25">
      <c r="A69" t="str">
        <f>"ZF1258BAC5"</f>
        <v>ZF1258BAC5</v>
      </c>
      <c r="B69" t="str">
        <f t="shared" si="12"/>
        <v>AC Ravenna - 00085710390</v>
      </c>
      <c r="C69" t="str">
        <f>"RECAPITO BOLSE"</f>
        <v>RECAPITO BOLSE</v>
      </c>
      <c r="D69" t="str">
        <f t="shared" si="21"/>
        <v>23-AFFIDAMENTO DIRETTO</v>
      </c>
      <c r="E69" t="str">
        <f t="shared" si="22"/>
        <v>FUTURFIL SRL - 02471780391</v>
      </c>
      <c r="F69" t="str">
        <f t="shared" si="22"/>
        <v>FUTURFIL SRL - 02471780391</v>
      </c>
      <c r="G69" t="str">
        <f>"832,00 EUR"</f>
        <v>832,00 EUR</v>
      </c>
      <c r="H69" t="str">
        <f t="shared" si="20"/>
        <v>30/10/2018 - 30/11/2018</v>
      </c>
      <c r="I69" t="str">
        <f>"832,00 EUR"</f>
        <v>832,00 EUR</v>
      </c>
    </row>
    <row r="70" spans="1:9" x14ac:dyDescent="0.25">
      <c r="A70" t="str">
        <f>"ZD4258BCC2"</f>
        <v>ZD4258BCC2</v>
      </c>
      <c r="B70" t="str">
        <f t="shared" si="12"/>
        <v>AC Ravenna - 00085710390</v>
      </c>
      <c r="C70" t="str">
        <f>"MODULISTICA PERSONALIZZATA"</f>
        <v>MODULISTICA PERSONALIZZATA</v>
      </c>
      <c r="D70" t="str">
        <f t="shared" si="21"/>
        <v>23-AFFIDAMENTO DIRETTO</v>
      </c>
      <c r="E70" t="str">
        <f>"MAZZANTI PRINTCOLOR SRL - 02091850395"</f>
        <v>MAZZANTI PRINTCOLOR SRL - 02091850395</v>
      </c>
      <c r="F70" t="str">
        <f>"MAZZANTI PRINTCOLOR SRL - 02091850395"</f>
        <v>MAZZANTI PRINTCOLOR SRL - 02091850395</v>
      </c>
      <c r="G70" t="str">
        <f>"231,00 EUR"</f>
        <v>231,00 EUR</v>
      </c>
      <c r="H70" t="str">
        <f t="shared" si="20"/>
        <v>30/10/2018 - 30/11/2018</v>
      </c>
      <c r="I70" t="str">
        <f>"231,00 EUR"</f>
        <v>231,00 EUR</v>
      </c>
    </row>
    <row r="71" spans="1:9" x14ac:dyDescent="0.25">
      <c r="A71" t="str">
        <f>"Z5F250FA2B"</f>
        <v>Z5F250FA2B</v>
      </c>
      <c r="B71" t="str">
        <f t="shared" si="12"/>
        <v>AC Ravenna - 00085710390</v>
      </c>
      <c r="C71" t="str">
        <f>"RECAPITO PATENTI"</f>
        <v>RECAPITO PATENTI</v>
      </c>
      <c r="D71" t="str">
        <f t="shared" si="21"/>
        <v>23-AFFIDAMENTO DIRETTO</v>
      </c>
      <c r="E71" t="str">
        <f t="shared" ref="E71:F73" si="23">"FUTURFIL SRL - 02471780391"</f>
        <v>FUTURFIL SRL - 02471780391</v>
      </c>
      <c r="F71" t="str">
        <f t="shared" si="23"/>
        <v>FUTURFIL SRL - 02471780391</v>
      </c>
      <c r="G71" t="str">
        <f>"279,00 EUR"</f>
        <v>279,00 EUR</v>
      </c>
      <c r="H71" t="str">
        <f t="shared" ref="H71:H76" si="24">"26/09/2018 - 26/10/2018"</f>
        <v>26/09/2018 - 26/10/2018</v>
      </c>
      <c r="I71" t="str">
        <f>"279,00 EUR"</f>
        <v>279,00 EUR</v>
      </c>
    </row>
    <row r="72" spans="1:9" x14ac:dyDescent="0.25">
      <c r="A72" t="str">
        <f>"ZBD250FA03"</f>
        <v>ZBD250FA03</v>
      </c>
      <c r="B72" t="str">
        <f t="shared" si="12"/>
        <v>AC Ravenna - 00085710390</v>
      </c>
      <c r="C72" t="str">
        <f>"RECAPITO SOCI"</f>
        <v>RECAPITO SOCI</v>
      </c>
      <c r="D72" t="str">
        <f t="shared" si="21"/>
        <v>23-AFFIDAMENTO DIRETTO</v>
      </c>
      <c r="E72" t="str">
        <f t="shared" si="23"/>
        <v>FUTURFIL SRL - 02471780391</v>
      </c>
      <c r="F72" t="str">
        <f t="shared" si="23"/>
        <v>FUTURFIL SRL - 02471780391</v>
      </c>
      <c r="G72" t="str">
        <f>"139,00 EUR"</f>
        <v>139,00 EUR</v>
      </c>
      <c r="H72" t="str">
        <f t="shared" si="24"/>
        <v>26/09/2018 - 26/10/2018</v>
      </c>
      <c r="I72" t="str">
        <f>"139,00 EUR"</f>
        <v>139,00 EUR</v>
      </c>
    </row>
    <row r="73" spans="1:9" x14ac:dyDescent="0.25">
      <c r="A73" t="str">
        <f>"ZAE250F9E4"</f>
        <v>ZAE250F9E4</v>
      </c>
      <c r="B73" t="str">
        <f t="shared" si="12"/>
        <v>AC Ravenna - 00085710390</v>
      </c>
      <c r="C73" t="str">
        <f>"RECAPITO BOLSE"</f>
        <v>RECAPITO BOLSE</v>
      </c>
      <c r="D73" t="str">
        <f t="shared" si="21"/>
        <v>23-AFFIDAMENTO DIRETTO</v>
      </c>
      <c r="E73" t="str">
        <f t="shared" si="23"/>
        <v>FUTURFIL SRL - 02471780391</v>
      </c>
      <c r="F73" t="str">
        <f t="shared" si="23"/>
        <v>FUTURFIL SRL - 02471780391</v>
      </c>
      <c r="G73" t="str">
        <f>"333,00 EUR"</f>
        <v>333,00 EUR</v>
      </c>
      <c r="H73" t="str">
        <f t="shared" si="24"/>
        <v>26/09/2018 - 26/10/2018</v>
      </c>
      <c r="I73" t="str">
        <f>"333,00 EUR"</f>
        <v>333,00 EUR</v>
      </c>
    </row>
    <row r="74" spans="1:9" x14ac:dyDescent="0.25">
      <c r="A74" t="str">
        <f>"Z05250F971"</f>
        <v>Z05250F971</v>
      </c>
      <c r="B74" t="str">
        <f t="shared" si="12"/>
        <v>AC Ravenna - 00085710390</v>
      </c>
      <c r="C74" t="str">
        <f>"RECAPITO PATENTI"</f>
        <v>RECAPITO PATENTI</v>
      </c>
      <c r="D74" t="str">
        <f t="shared" si="21"/>
        <v>23-AFFIDAMENTO DIRETTO</v>
      </c>
      <c r="E74" t="str">
        <f t="shared" ref="E74:F76" si="25">"GAMMA INDIRIZZI SRL - 01048250391"</f>
        <v>GAMMA INDIRIZZI SRL - 01048250391</v>
      </c>
      <c r="F74" t="str">
        <f t="shared" si="25"/>
        <v>GAMMA INDIRIZZI SRL - 01048250391</v>
      </c>
      <c r="G74" t="str">
        <f>"72,00 EUR"</f>
        <v>72,00 EUR</v>
      </c>
      <c r="H74" t="str">
        <f t="shared" si="24"/>
        <v>26/09/2018 - 26/10/2018</v>
      </c>
      <c r="I74" t="str">
        <f>"72,00 EUR"</f>
        <v>72,00 EUR</v>
      </c>
    </row>
    <row r="75" spans="1:9" x14ac:dyDescent="0.25">
      <c r="A75" t="str">
        <f>"Z5B250F917"</f>
        <v>Z5B250F917</v>
      </c>
      <c r="B75" t="str">
        <f t="shared" si="12"/>
        <v>AC Ravenna - 00085710390</v>
      </c>
      <c r="C75" t="str">
        <f>"RECAPITO SOCI"</f>
        <v>RECAPITO SOCI</v>
      </c>
      <c r="D75" t="str">
        <f t="shared" si="21"/>
        <v>23-AFFIDAMENTO DIRETTO</v>
      </c>
      <c r="E75" t="str">
        <f t="shared" si="25"/>
        <v>GAMMA INDIRIZZI SRL - 01048250391</v>
      </c>
      <c r="F75" t="str">
        <f t="shared" si="25"/>
        <v>GAMMA INDIRIZZI SRL - 01048250391</v>
      </c>
      <c r="G75" t="str">
        <f>"109,00 EUR"</f>
        <v>109,00 EUR</v>
      </c>
      <c r="H75" t="str">
        <f t="shared" si="24"/>
        <v>26/09/2018 - 26/10/2018</v>
      </c>
      <c r="I75" t="str">
        <f>"109,00 EUR"</f>
        <v>109,00 EUR</v>
      </c>
    </row>
    <row r="76" spans="1:9" x14ac:dyDescent="0.25">
      <c r="A76" t="str">
        <f>"Z36250F8EC"</f>
        <v>Z36250F8EC</v>
      </c>
      <c r="B76" t="str">
        <f t="shared" si="12"/>
        <v>AC Ravenna - 00085710390</v>
      </c>
      <c r="C76" t="str">
        <f>"RECAPITO BOLSE"</f>
        <v>RECAPITO BOLSE</v>
      </c>
      <c r="D76" t="str">
        <f t="shared" si="21"/>
        <v>23-AFFIDAMENTO DIRETTO</v>
      </c>
      <c r="E76" t="str">
        <f t="shared" si="25"/>
        <v>GAMMA INDIRIZZI SRL - 01048250391</v>
      </c>
      <c r="F76" t="str">
        <f t="shared" si="25"/>
        <v>GAMMA INDIRIZZI SRL - 01048250391</v>
      </c>
      <c r="G76" t="str">
        <f>"243,00 EUR"</f>
        <v>243,00 EUR</v>
      </c>
      <c r="H76" t="str">
        <f t="shared" si="24"/>
        <v>26/09/2018 - 26/10/2018</v>
      </c>
      <c r="I76" t="str">
        <f>"243,00 EUR"</f>
        <v>243,00 EUR</v>
      </c>
    </row>
    <row r="77" spans="1:9" x14ac:dyDescent="0.25">
      <c r="A77" t="str">
        <f>"ZEA24F17FC"</f>
        <v>ZEA24F17FC</v>
      </c>
      <c r="B77" t="str">
        <f t="shared" si="12"/>
        <v>AC Ravenna - 00085710390</v>
      </c>
      <c r="C77" t="str">
        <f>"MODULISTICA PERSONALIZZATA"</f>
        <v>MODULISTICA PERSONALIZZATA</v>
      </c>
      <c r="D77" t="str">
        <f t="shared" si="21"/>
        <v>23-AFFIDAMENTO DIRETTO</v>
      </c>
      <c r="E77" t="str">
        <f>"SAMORANI S.R.L. - 02705640403"</f>
        <v>SAMORANI S.R.L. - 02705640403</v>
      </c>
      <c r="F77" t="str">
        <f>"SAMORANI S.R.L. - 02705640403"</f>
        <v>SAMORANI S.R.L. - 02705640403</v>
      </c>
      <c r="G77" t="str">
        <f>"330,00 EUR"</f>
        <v>330,00 EUR</v>
      </c>
      <c r="H77" t="str">
        <f>"17/09/2018 - 17/10/2018"</f>
        <v>17/09/2018 - 17/10/2018</v>
      </c>
      <c r="I77" t="str">
        <f>"330,00 EUR"</f>
        <v>330,00 EUR</v>
      </c>
    </row>
    <row r="78" spans="1:9" x14ac:dyDescent="0.25">
      <c r="A78" t="str">
        <f>"z2824ed20c"</f>
        <v>z2824ed20c</v>
      </c>
      <c r="B78" t="str">
        <f t="shared" si="12"/>
        <v>AC Ravenna - 00085710390</v>
      </c>
      <c r="C78" t="str">
        <f>"modulistica personalizzata"</f>
        <v>modulistica personalizzata</v>
      </c>
      <c r="D78" t="str">
        <f t="shared" si="21"/>
        <v>23-AFFIDAMENTO DIRETTO</v>
      </c>
      <c r="E78" t="str">
        <f>"MAZZANTI PRINTCOLOR SRL - 02091850395"</f>
        <v>MAZZANTI PRINTCOLOR SRL - 02091850395</v>
      </c>
      <c r="F78" t="str">
        <f>"MAZZANTI PRINTCOLOR SRL - 02091850395"</f>
        <v>MAZZANTI PRINTCOLOR SRL - 02091850395</v>
      </c>
      <c r="G78" t="str">
        <f>"360,00 EUR"</f>
        <v>360,00 EUR</v>
      </c>
      <c r="H78" t="str">
        <f>"15/09/2018 - 15/10/2018"</f>
        <v>15/09/2018 - 15/10/2018</v>
      </c>
      <c r="I78" t="str">
        <f>"360,00 EUR"</f>
        <v>360,00 EUR</v>
      </c>
    </row>
    <row r="79" spans="1:9" x14ac:dyDescent="0.25">
      <c r="A79" t="str">
        <f>"ZAB24C0C33"</f>
        <v>ZAB24C0C33</v>
      </c>
      <c r="B79" t="str">
        <f t="shared" si="12"/>
        <v>AC Ravenna - 00085710390</v>
      </c>
      <c r="C79" t="str">
        <f>"RECAPITO BOLSE"</f>
        <v>RECAPITO BOLSE</v>
      </c>
      <c r="D79" t="str">
        <f t="shared" si="21"/>
        <v>23-AFFIDAMENTO DIRETTO</v>
      </c>
      <c r="E79" t="str">
        <f t="shared" ref="E79:F81" si="26">"FUTURFIL SRL - 02471780391"</f>
        <v>FUTURFIL SRL - 02471780391</v>
      </c>
      <c r="F79" t="str">
        <f t="shared" si="26"/>
        <v>FUTURFIL SRL - 02471780391</v>
      </c>
      <c r="G79" t="str">
        <f>"301,00 EUR"</f>
        <v>301,00 EUR</v>
      </c>
      <c r="H79" t="str">
        <f t="shared" ref="H79:H84" si="27">"30/08/2018 - 15/09/2018"</f>
        <v>30/08/2018 - 15/09/2018</v>
      </c>
      <c r="I79" t="str">
        <f>"301,00 EUR"</f>
        <v>301,00 EUR</v>
      </c>
    </row>
    <row r="80" spans="1:9" x14ac:dyDescent="0.25">
      <c r="A80" t="str">
        <f>"ZC524C0C58"</f>
        <v>ZC524C0C58</v>
      </c>
      <c r="B80" t="str">
        <f t="shared" si="12"/>
        <v>AC Ravenna - 00085710390</v>
      </c>
      <c r="C80" t="str">
        <f>"RECAPITO SOCI"</f>
        <v>RECAPITO SOCI</v>
      </c>
      <c r="D80" t="str">
        <f t="shared" si="21"/>
        <v>23-AFFIDAMENTO DIRETTO</v>
      </c>
      <c r="E80" t="str">
        <f t="shared" si="26"/>
        <v>FUTURFIL SRL - 02471780391</v>
      </c>
      <c r="F80" t="str">
        <f t="shared" si="26"/>
        <v>FUTURFIL SRL - 02471780391</v>
      </c>
      <c r="G80" t="str">
        <f>"154,00 EUR"</f>
        <v>154,00 EUR</v>
      </c>
      <c r="H80" t="str">
        <f t="shared" si="27"/>
        <v>30/08/2018 - 15/09/2018</v>
      </c>
      <c r="I80" t="str">
        <f>"154,00 EUR"</f>
        <v>154,00 EUR</v>
      </c>
    </row>
    <row r="81" spans="1:9" x14ac:dyDescent="0.25">
      <c r="A81" t="str">
        <f>"ZA124C0C72"</f>
        <v>ZA124C0C72</v>
      </c>
      <c r="B81" t="str">
        <f t="shared" si="12"/>
        <v>AC Ravenna - 00085710390</v>
      </c>
      <c r="C81" t="str">
        <f>"RECAPITO PATENTI"</f>
        <v>RECAPITO PATENTI</v>
      </c>
      <c r="D81" t="str">
        <f t="shared" si="21"/>
        <v>23-AFFIDAMENTO DIRETTO</v>
      </c>
      <c r="E81" t="str">
        <f t="shared" si="26"/>
        <v>FUTURFIL SRL - 02471780391</v>
      </c>
      <c r="F81" t="str">
        <f t="shared" si="26"/>
        <v>FUTURFIL SRL - 02471780391</v>
      </c>
      <c r="G81" t="str">
        <f>"262,00 EUR"</f>
        <v>262,00 EUR</v>
      </c>
      <c r="H81" t="str">
        <f t="shared" si="27"/>
        <v>30/08/2018 - 15/09/2018</v>
      </c>
      <c r="I81" t="str">
        <f>"262,00 EUR"</f>
        <v>262,00 EUR</v>
      </c>
    </row>
    <row r="82" spans="1:9" x14ac:dyDescent="0.25">
      <c r="A82" t="str">
        <f>"Z3C24C0CAD"</f>
        <v>Z3C24C0CAD</v>
      </c>
      <c r="B82" t="str">
        <f t="shared" si="12"/>
        <v>AC Ravenna - 00085710390</v>
      </c>
      <c r="C82" t="str">
        <f>"SERVIZIO ELAB BOLSE"</f>
        <v>SERVIZIO ELAB BOLSE</v>
      </c>
      <c r="D82" t="str">
        <f t="shared" si="21"/>
        <v>23-AFFIDAMENTO DIRETTO</v>
      </c>
      <c r="E82" t="str">
        <f t="shared" ref="E82:F84" si="28">"GAMMA INDIRIZZI SRL - 01048250391"</f>
        <v>GAMMA INDIRIZZI SRL - 01048250391</v>
      </c>
      <c r="F82" t="str">
        <f t="shared" si="28"/>
        <v>GAMMA INDIRIZZI SRL - 01048250391</v>
      </c>
      <c r="G82" t="str">
        <f>"222,00 EUR"</f>
        <v>222,00 EUR</v>
      </c>
      <c r="H82" t="str">
        <f t="shared" si="27"/>
        <v>30/08/2018 - 15/09/2018</v>
      </c>
      <c r="I82" t="str">
        <f>"222,00 EUR"</f>
        <v>222,00 EUR</v>
      </c>
    </row>
    <row r="83" spans="1:9" x14ac:dyDescent="0.25">
      <c r="A83" t="str">
        <f>"ZE024C0CC2"</f>
        <v>ZE024C0CC2</v>
      </c>
      <c r="B83" t="str">
        <f t="shared" si="12"/>
        <v>AC Ravenna - 00085710390</v>
      </c>
      <c r="C83" t="str">
        <f>"SERVIZIO ELAB SOCI"</f>
        <v>SERVIZIO ELAB SOCI</v>
      </c>
      <c r="D83" t="str">
        <f t="shared" si="21"/>
        <v>23-AFFIDAMENTO DIRETTO</v>
      </c>
      <c r="E83" t="str">
        <f t="shared" si="28"/>
        <v>GAMMA INDIRIZZI SRL - 01048250391</v>
      </c>
      <c r="F83" t="str">
        <f t="shared" si="28"/>
        <v>GAMMA INDIRIZZI SRL - 01048250391</v>
      </c>
      <c r="G83" t="str">
        <f>"112,00 EUR"</f>
        <v>112,00 EUR</v>
      </c>
      <c r="H83" t="str">
        <f t="shared" si="27"/>
        <v>30/08/2018 - 15/09/2018</v>
      </c>
      <c r="I83" t="str">
        <f>"112,00 EUR"</f>
        <v>112,00 EUR</v>
      </c>
    </row>
    <row r="84" spans="1:9" x14ac:dyDescent="0.25">
      <c r="A84" t="str">
        <f>"Z3924C0CD9"</f>
        <v>Z3924C0CD9</v>
      </c>
      <c r="B84" t="str">
        <f t="shared" si="12"/>
        <v>AC Ravenna - 00085710390</v>
      </c>
      <c r="C84" t="str">
        <f>"SERVIZIO ELAB PATENTI"</f>
        <v>SERVIZIO ELAB PATENTI</v>
      </c>
      <c r="D84" t="str">
        <f t="shared" si="21"/>
        <v>23-AFFIDAMENTO DIRETTO</v>
      </c>
      <c r="E84" t="str">
        <f t="shared" si="28"/>
        <v>GAMMA INDIRIZZI SRL - 01048250391</v>
      </c>
      <c r="F84" t="str">
        <f t="shared" si="28"/>
        <v>GAMMA INDIRIZZI SRL - 01048250391</v>
      </c>
      <c r="G84" t="str">
        <f>"289,00 EUR"</f>
        <v>289,00 EUR</v>
      </c>
      <c r="H84" t="str">
        <f t="shared" si="27"/>
        <v>30/08/2018 - 15/09/2018</v>
      </c>
      <c r="I84" t="str">
        <f>"289,00 EUR"</f>
        <v>289,00 EUR</v>
      </c>
    </row>
    <row r="85" spans="1:9" x14ac:dyDescent="0.25">
      <c r="A85" t="str">
        <f>"Z512493201"</f>
        <v>Z512493201</v>
      </c>
      <c r="B85" t="str">
        <f t="shared" si="12"/>
        <v>AC Ravenna - 00085710390</v>
      </c>
      <c r="C85" t="str">
        <f>"PROROGA SERVIZIO VIGILANZA"</f>
        <v>PROROGA SERVIZIO VIGILANZA</v>
      </c>
      <c r="D85" t="str">
        <f t="shared" si="21"/>
        <v>23-AFFIDAMENTO DIRETTO</v>
      </c>
      <c r="E85" t="str">
        <f>"I.B.S.ITALIA SRL - 02107450393"</f>
        <v>I.B.S.ITALIA SRL - 02107450393</v>
      </c>
      <c r="F85" t="str">
        <f>"I.B.S.ITALIA SRL - 02107450393"</f>
        <v>I.B.S.ITALIA SRL - 02107450393</v>
      </c>
      <c r="G85" t="str">
        <f>"360,00 EUR"</f>
        <v>360,00 EUR</v>
      </c>
      <c r="H85" t="str">
        <f>"02/08/2018 - 30/09/2018"</f>
        <v>02/08/2018 - 30/09/2018</v>
      </c>
      <c r="I85" t="str">
        <f>"360,00 EUR"</f>
        <v>360,00 EUR</v>
      </c>
    </row>
    <row r="86" spans="1:9" x14ac:dyDescent="0.25">
      <c r="A86" t="str">
        <f>"ZA8249E559"</f>
        <v>ZA8249E559</v>
      </c>
      <c r="B86" t="str">
        <f t="shared" si="12"/>
        <v>AC Ravenna - 00085710390</v>
      </c>
      <c r="C86" t="str">
        <f>"SERVIZIO VIGILANZA"</f>
        <v>SERVIZIO VIGILANZA</v>
      </c>
      <c r="D86" t="str">
        <f t="shared" si="21"/>
        <v>23-AFFIDAMENTO DIRETTO</v>
      </c>
      <c r="E86" t="str">
        <f>"COOPSERVICE S.COOP.P.A. - 00310180351"</f>
        <v>COOPSERVICE S.COOP.P.A. - 00310180351</v>
      </c>
      <c r="F86" t="str">
        <f>"COOPSERVICE S.COOP.P.A. - 00310180351"</f>
        <v>COOPSERVICE S.COOP.P.A. - 00310180351</v>
      </c>
      <c r="G86" t="str">
        <f>"1.950,00 EUR"</f>
        <v>1.950,00 EUR</v>
      </c>
      <c r="H86" t="str">
        <f>"08/08/2018 - 30/09/2020"</f>
        <v>08/08/2018 - 30/09/2020</v>
      </c>
      <c r="I86" t="str">
        <f>"1.950,00 EUR"</f>
        <v>1.950,00 EUR</v>
      </c>
    </row>
    <row r="87" spans="1:9" x14ac:dyDescent="0.25">
      <c r="A87" t="str">
        <f>"Z8E249E33E"</f>
        <v>Z8E249E33E</v>
      </c>
      <c r="B87" t="str">
        <f t="shared" si="12"/>
        <v>AC Ravenna - 00085710390</v>
      </c>
      <c r="C87" t="str">
        <f>"MANUTENZIONE ESTINTORI"</f>
        <v>MANUTENZIONE ESTINTORI</v>
      </c>
      <c r="D87" t="str">
        <f t="shared" si="21"/>
        <v>23-AFFIDAMENTO DIRETTO</v>
      </c>
      <c r="E87" t="str">
        <f>"NUOVA OLP IMPIANTI SRL - 01478520396"</f>
        <v>NUOVA OLP IMPIANTI SRL - 01478520396</v>
      </c>
      <c r="F87" t="str">
        <f>"NUOVA OLP IMPIANTI SRL - 01478520396"</f>
        <v>NUOVA OLP IMPIANTI SRL - 01478520396</v>
      </c>
      <c r="G87" t="str">
        <f>"166,00 EUR"</f>
        <v>166,00 EUR</v>
      </c>
      <c r="H87" t="str">
        <f>"08/08/2018 - 31/08/2018"</f>
        <v>08/08/2018 - 31/08/2018</v>
      </c>
      <c r="I87" t="str">
        <f>"166,00 EUR"</f>
        <v>166,00 EUR</v>
      </c>
    </row>
    <row r="88" spans="1:9" x14ac:dyDescent="0.25">
      <c r="A88" t="str">
        <f>"ZBB2499D03"</f>
        <v>ZBB2499D03</v>
      </c>
      <c r="B88" t="str">
        <f t="shared" si="12"/>
        <v>AC Ravenna - 00085710390</v>
      </c>
      <c r="C88" t="str">
        <f>"ACQUISTO SOFTWARE"</f>
        <v>ACQUISTO SOFTWARE</v>
      </c>
      <c r="D88" t="str">
        <f t="shared" si="21"/>
        <v>23-AFFIDAMENTO DIRETTO</v>
      </c>
      <c r="E88" t="str">
        <f>"HARVARD GROUP S.r.l. - 02254110402"</f>
        <v>HARVARD GROUP S.r.l. - 02254110402</v>
      </c>
      <c r="F88" t="str">
        <f>"HARVARD GROUP S.r.l. - 02254110402"</f>
        <v>HARVARD GROUP S.r.l. - 02254110402</v>
      </c>
      <c r="G88" t="str">
        <f>"392,00 EUR"</f>
        <v>392,00 EUR</v>
      </c>
      <c r="H88" t="str">
        <f>"06/08/2018 - 31/08/2018"</f>
        <v>06/08/2018 - 31/08/2018</v>
      </c>
      <c r="I88" t="str">
        <f>"392,00 EUR"</f>
        <v>392,00 EUR</v>
      </c>
    </row>
    <row r="89" spans="1:9" x14ac:dyDescent="0.25">
      <c r="A89" t="str">
        <f>"Z772487F04"</f>
        <v>Z772487F04</v>
      </c>
      <c r="B89" t="str">
        <f t="shared" si="12"/>
        <v>AC Ravenna - 00085710390</v>
      </c>
      <c r="C89" t="str">
        <f>"MODULISTICA UFF.A.A."</f>
        <v>MODULISTICA UFF.A.A.</v>
      </c>
      <c r="D89" t="str">
        <f t="shared" si="21"/>
        <v>23-AFFIDAMENTO DIRETTO</v>
      </c>
      <c r="E89" t="str">
        <f>"SAMORANI S.R.L. - 02705640403"</f>
        <v>SAMORANI S.R.L. - 02705640403</v>
      </c>
      <c r="F89" t="str">
        <f>"SAMORANI S.R.L. - 02705640403"</f>
        <v>SAMORANI S.R.L. - 02705640403</v>
      </c>
      <c r="G89" t="str">
        <f>"621,00 EUR"</f>
        <v>621,00 EUR</v>
      </c>
      <c r="H89" t="str">
        <f>"31/07/2018 - 15/08/2018"</f>
        <v>31/07/2018 - 15/08/2018</v>
      </c>
      <c r="I89" t="str">
        <f>"621,00 EUR"</f>
        <v>621,00 EUR</v>
      </c>
    </row>
    <row r="90" spans="1:9" x14ac:dyDescent="0.25">
      <c r="A90" t="str">
        <f>"ZAB2486F9E"</f>
        <v>ZAB2486F9E</v>
      </c>
      <c r="B90" t="str">
        <f t="shared" si="12"/>
        <v>AC Ravenna - 00085710390</v>
      </c>
      <c r="C90" t="str">
        <f>"STAMPATI"</f>
        <v>STAMPATI</v>
      </c>
      <c r="D90" t="str">
        <f t="shared" si="21"/>
        <v>23-AFFIDAMENTO DIRETTO</v>
      </c>
      <c r="E90" t="str">
        <f>"MAZZANTI PRINTCOLOR SRL - 02091850395"</f>
        <v>MAZZANTI PRINTCOLOR SRL - 02091850395</v>
      </c>
      <c r="F90" t="str">
        <f>"MAZZANTI PRINTCOLOR SRL - 02091850395"</f>
        <v>MAZZANTI PRINTCOLOR SRL - 02091850395</v>
      </c>
      <c r="G90" t="str">
        <f>"383,00 EUR"</f>
        <v>383,00 EUR</v>
      </c>
      <c r="H90" t="str">
        <f>"30/07/2018 - 15/08/2018"</f>
        <v>30/07/2018 - 15/08/2018</v>
      </c>
      <c r="I90" t="str">
        <f>"383,00 EUR"</f>
        <v>383,00 EUR</v>
      </c>
    </row>
    <row r="91" spans="1:9" x14ac:dyDescent="0.25">
      <c r="A91" t="str">
        <f>"ZF92483925"</f>
        <v>ZF92483925</v>
      </c>
      <c r="B91" t="str">
        <f t="shared" si="12"/>
        <v>AC Ravenna - 00085710390</v>
      </c>
      <c r="C91" t="str">
        <f>"MANUTENZIONE IMPIANTI"</f>
        <v>MANUTENZIONE IMPIANTI</v>
      </c>
      <c r="D91" t="str">
        <f t="shared" si="21"/>
        <v>23-AFFIDAMENTO DIRETTO</v>
      </c>
      <c r="E91" t="str">
        <f>"NILO TERMOIDRAULICA SRL - 02500700394"</f>
        <v>NILO TERMOIDRAULICA SRL - 02500700394</v>
      </c>
      <c r="F91" t="str">
        <f>"NILO TERMOIDRAULICA SRL - 02500700394"</f>
        <v>NILO TERMOIDRAULICA SRL - 02500700394</v>
      </c>
      <c r="G91" t="str">
        <f>"142,00 EUR"</f>
        <v>142,00 EUR</v>
      </c>
      <c r="H91" t="str">
        <f>"28/07/2018 - 15/08/2018"</f>
        <v>28/07/2018 - 15/08/2018</v>
      </c>
      <c r="I91" t="str">
        <f>"142,00 EUR"</f>
        <v>142,00 EUR</v>
      </c>
    </row>
    <row r="92" spans="1:9" x14ac:dyDescent="0.25">
      <c r="A92" t="str">
        <f>"Z4A248390A"</f>
        <v>Z4A248390A</v>
      </c>
      <c r="B92" t="str">
        <f t="shared" si="12"/>
        <v>AC Ravenna - 00085710390</v>
      </c>
      <c r="C92" t="str">
        <f>"RECAPITO SOCI"</f>
        <v>RECAPITO SOCI</v>
      </c>
      <c r="D92" t="str">
        <f t="shared" si="21"/>
        <v>23-AFFIDAMENTO DIRETTO</v>
      </c>
      <c r="E92" t="str">
        <f>"FUTURFIL SRL - 02471780391"</f>
        <v>FUTURFIL SRL - 02471780391</v>
      </c>
      <c r="F92" t="str">
        <f>"FUTURFIL SRL - 02471780391"</f>
        <v>FUTURFIL SRL - 02471780391</v>
      </c>
      <c r="G92" t="str">
        <f>"134,00 EUR"</f>
        <v>134,00 EUR</v>
      </c>
      <c r="H92" t="str">
        <f>"28/07/2018 - 31/08/2018"</f>
        <v>28/07/2018 - 31/08/2018</v>
      </c>
      <c r="I92" t="str">
        <f>"134,00 EUR"</f>
        <v>134,00 EUR</v>
      </c>
    </row>
    <row r="93" spans="1:9" x14ac:dyDescent="0.25">
      <c r="A93" t="str">
        <f>"Z172483905"</f>
        <v>Z172483905</v>
      </c>
      <c r="B93" t="str">
        <f t="shared" si="12"/>
        <v>AC Ravenna - 00085710390</v>
      </c>
      <c r="C93" t="str">
        <f>"RECAPITO BOLLO SERENO"</f>
        <v>RECAPITO BOLLO SERENO</v>
      </c>
      <c r="D93" t="str">
        <f t="shared" si="21"/>
        <v>23-AFFIDAMENTO DIRETTO</v>
      </c>
      <c r="E93" t="str">
        <f>"FUTURFIL SRL - 02471780391"</f>
        <v>FUTURFIL SRL - 02471780391</v>
      </c>
      <c r="F93" t="str">
        <f>"FUTURFIL SRL - 02471780391"</f>
        <v>FUTURFIL SRL - 02471780391</v>
      </c>
      <c r="G93" t="str">
        <f>"332,00 EUR"</f>
        <v>332,00 EUR</v>
      </c>
      <c r="H93" t="str">
        <f>"28/07/2018 - 31/08/2018"</f>
        <v>28/07/2018 - 31/08/2018</v>
      </c>
      <c r="I93" t="str">
        <f>"332,00 EUR"</f>
        <v>332,00 EUR</v>
      </c>
    </row>
    <row r="94" spans="1:9" x14ac:dyDescent="0.25">
      <c r="A94" t="str">
        <f>"Z672483903"</f>
        <v>Z672483903</v>
      </c>
      <c r="B94" t="str">
        <f t="shared" si="12"/>
        <v>AC Ravenna - 00085710390</v>
      </c>
      <c r="C94" t="str">
        <f>"SERVIZIO ELAB SOCI"</f>
        <v>SERVIZIO ELAB SOCI</v>
      </c>
      <c r="D94" t="str">
        <f t="shared" si="21"/>
        <v>23-AFFIDAMENTO DIRETTO</v>
      </c>
      <c r="E94" t="str">
        <f>"GAMMA INDIRIZZI SRL - 01048250391"</f>
        <v>GAMMA INDIRIZZI SRL - 01048250391</v>
      </c>
      <c r="F94" t="str">
        <f>"GAMMA INDIRIZZI SRL - 01048250391"</f>
        <v>GAMMA INDIRIZZI SRL - 01048250391</v>
      </c>
      <c r="G94" t="str">
        <f>"98,00 EUR"</f>
        <v>98,00 EUR</v>
      </c>
      <c r="H94" t="str">
        <f>"28/07/2018 - 31/08/2018"</f>
        <v>28/07/2018 - 31/08/2018</v>
      </c>
      <c r="I94" t="str">
        <f>"98,00 EUR"</f>
        <v>98,00 EUR</v>
      </c>
    </row>
    <row r="95" spans="1:9" x14ac:dyDescent="0.25">
      <c r="A95" t="str">
        <f>"ZB72483901"</f>
        <v>ZB72483901</v>
      </c>
      <c r="B95" t="str">
        <f t="shared" si="12"/>
        <v>AC Ravenna - 00085710390</v>
      </c>
      <c r="C95" t="str">
        <f>"SERVIZIO ELAB BOLLO SERENO"</f>
        <v>SERVIZIO ELAB BOLLO SERENO</v>
      </c>
      <c r="D95" t="str">
        <f t="shared" si="21"/>
        <v>23-AFFIDAMENTO DIRETTO</v>
      </c>
      <c r="E95" t="str">
        <f>"GAMMA INDIRIZZI SRL - 01048250391"</f>
        <v>GAMMA INDIRIZZI SRL - 01048250391</v>
      </c>
      <c r="F95" t="str">
        <f>"GAMMA INDIRIZZI SRL - 01048250391"</f>
        <v>GAMMA INDIRIZZI SRL - 01048250391</v>
      </c>
      <c r="G95" t="str">
        <f>"242,00 EUR"</f>
        <v>242,00 EUR</v>
      </c>
      <c r="H95" t="str">
        <f>"28/07/2018 - 31/08/2018"</f>
        <v>28/07/2018 - 31/08/2018</v>
      </c>
      <c r="I95" t="str">
        <f>"242,00 EUR"</f>
        <v>242,00 EUR</v>
      </c>
    </row>
    <row r="96" spans="1:9" x14ac:dyDescent="0.25">
      <c r="A96" t="str">
        <f>"Z1A2479FE5"</f>
        <v>Z1A2479FE5</v>
      </c>
      <c r="B96" t="str">
        <f t="shared" si="12"/>
        <v>AC Ravenna - 00085710390</v>
      </c>
      <c r="C96" t="str">
        <f>"SERVIZIO SUPPORTO AL RUP"</f>
        <v>SERVIZIO SUPPORTO AL RUP</v>
      </c>
      <c r="D96" t="str">
        <f t="shared" si="21"/>
        <v>23-AFFIDAMENTO DIRETTO</v>
      </c>
      <c r="E96" t="str">
        <f>"AVV.BARCHIELLI FRANCESCO - BRCFNC73R12H901H"</f>
        <v>AVV.BARCHIELLI FRANCESCO - BRCFNC73R12H901H</v>
      </c>
      <c r="F96" t="str">
        <f>"AVV.BARCHIELLI FRANCESCO - BRCFNC73R12H901H"</f>
        <v>AVV.BARCHIELLI FRANCESCO - BRCFNC73R12H901H</v>
      </c>
      <c r="G96" t="str">
        <f>"15.000,00 EUR"</f>
        <v>15.000,00 EUR</v>
      </c>
      <c r="H96" t="str">
        <f>"25/07/2018 - 30/06/2021"</f>
        <v>25/07/2018 - 30/06/2021</v>
      </c>
      <c r="I96" t="str">
        <f>"0,00 EUR"</f>
        <v>0,00 EUR</v>
      </c>
    </row>
    <row r="97" spans="1:9" x14ac:dyDescent="0.25">
      <c r="A97" t="str">
        <f>"ZD924373AE"</f>
        <v>ZD924373AE</v>
      </c>
      <c r="B97" t="str">
        <f t="shared" si="12"/>
        <v>AC Ravenna - 00085710390</v>
      </c>
      <c r="C97" t="str">
        <f>"RECAPITO SOCI"</f>
        <v>RECAPITO SOCI</v>
      </c>
      <c r="D97" t="str">
        <f t="shared" si="21"/>
        <v>23-AFFIDAMENTO DIRETTO</v>
      </c>
      <c r="E97" t="str">
        <f>"FUTURFIL SRL - 02471780391"</f>
        <v>FUTURFIL SRL - 02471780391</v>
      </c>
      <c r="F97" t="str">
        <f>"FUTURFIL SRL - 02471780391"</f>
        <v>FUTURFIL SRL - 02471780391</v>
      </c>
      <c r="G97" t="str">
        <f>"134,00 EUR"</f>
        <v>134,00 EUR</v>
      </c>
      <c r="H97" t="str">
        <f>"02/07/2018 - 31/07/2018"</f>
        <v>02/07/2018 - 31/07/2018</v>
      </c>
      <c r="I97" t="str">
        <f>"134,00 EUR"</f>
        <v>134,00 EUR</v>
      </c>
    </row>
    <row r="98" spans="1:9" x14ac:dyDescent="0.25">
      <c r="A98" t="str">
        <f>"Z9B24373A3"</f>
        <v>Z9B24373A3</v>
      </c>
      <c r="B98" t="str">
        <f t="shared" si="12"/>
        <v>AC Ravenna - 00085710390</v>
      </c>
      <c r="C98" t="str">
        <f>"RECAPITO BOLLO SERENO"</f>
        <v>RECAPITO BOLLO SERENO</v>
      </c>
      <c r="D98" t="str">
        <f t="shared" ref="D98:D129" si="29">"23-AFFIDAMENTO DIRETTO"</f>
        <v>23-AFFIDAMENTO DIRETTO</v>
      </c>
      <c r="E98" t="str">
        <f>"FUTURFIL SRL - 02471780391"</f>
        <v>FUTURFIL SRL - 02471780391</v>
      </c>
      <c r="F98" t="str">
        <f>"FUTURFIL SRL - 02471780391"</f>
        <v>FUTURFIL SRL - 02471780391</v>
      </c>
      <c r="G98" t="str">
        <f>"786,00 EUR"</f>
        <v>786,00 EUR</v>
      </c>
      <c r="H98" t="str">
        <f>"02/07/2018 - 31/07/2018"</f>
        <v>02/07/2018 - 31/07/2018</v>
      </c>
      <c r="I98" t="str">
        <f>"786,00 EUR"</f>
        <v>786,00 EUR</v>
      </c>
    </row>
    <row r="99" spans="1:9" x14ac:dyDescent="0.25">
      <c r="A99" t="str">
        <f>"ZB8243739C"</f>
        <v>ZB8243739C</v>
      </c>
      <c r="B99" t="str">
        <f t="shared" si="12"/>
        <v>AC Ravenna - 00085710390</v>
      </c>
      <c r="C99" t="str">
        <f>"SERVIZO ELAB SOCI"</f>
        <v>SERVIZO ELAB SOCI</v>
      </c>
      <c r="D99" t="str">
        <f t="shared" si="29"/>
        <v>23-AFFIDAMENTO DIRETTO</v>
      </c>
      <c r="E99" t="str">
        <f>"GAMMA INDIRIZZI SRL - 01048250391"</f>
        <v>GAMMA INDIRIZZI SRL - 01048250391</v>
      </c>
      <c r="F99" t="str">
        <f>"GAMMA INDIRIZZI SRL - 01048250391"</f>
        <v>GAMMA INDIRIZZI SRL - 01048250391</v>
      </c>
      <c r="G99" t="str">
        <f>"94,00 EUR"</f>
        <v>94,00 EUR</v>
      </c>
      <c r="H99" t="str">
        <f>"02/07/2018 - 31/07/2018"</f>
        <v>02/07/2018 - 31/07/2018</v>
      </c>
      <c r="I99" t="str">
        <f>"94,00 EUR"</f>
        <v>94,00 EUR</v>
      </c>
    </row>
    <row r="100" spans="1:9" x14ac:dyDescent="0.25">
      <c r="A100" t="str">
        <f>"Z97243738A"</f>
        <v>Z97243738A</v>
      </c>
      <c r="B100" t="str">
        <f t="shared" si="12"/>
        <v>AC Ravenna - 00085710390</v>
      </c>
      <c r="C100" t="str">
        <f>"SERVIZIO ELAB BOLLO SERENO"</f>
        <v>SERVIZIO ELAB BOLLO SERENO</v>
      </c>
      <c r="D100" t="str">
        <f t="shared" si="29"/>
        <v>23-AFFIDAMENTO DIRETTO</v>
      </c>
      <c r="E100" t="str">
        <f>"GAMMA INDIRIZZI SRL - 01048250391"</f>
        <v>GAMMA INDIRIZZI SRL - 01048250391</v>
      </c>
      <c r="F100" t="str">
        <f>"GAMMA INDIRIZZI SRL - 01048250391"</f>
        <v>GAMMA INDIRIZZI SRL - 01048250391</v>
      </c>
      <c r="G100" t="str">
        <f>"532,00 EUR"</f>
        <v>532,00 EUR</v>
      </c>
      <c r="H100" t="str">
        <f>"02/07/2018 - 31/07/2018"</f>
        <v>02/07/2018 - 31/07/2018</v>
      </c>
      <c r="I100" t="str">
        <f>"532,00 EUR"</f>
        <v>532,00 EUR</v>
      </c>
    </row>
    <row r="101" spans="1:9" x14ac:dyDescent="0.25">
      <c r="A101" t="str">
        <f>"Z422433278"</f>
        <v>Z422433278</v>
      </c>
      <c r="B101" t="str">
        <f t="shared" si="12"/>
        <v>AC Ravenna - 00085710390</v>
      </c>
      <c r="C101" t="str">
        <f>"VERBALE OPERAIONI DI VOTO"</f>
        <v>VERBALE OPERAIONI DI VOTO</v>
      </c>
      <c r="D101" t="str">
        <f t="shared" si="29"/>
        <v>23-AFFIDAMENTO DIRETTO</v>
      </c>
      <c r="E101" t="str">
        <f>"STUDIO NOTARILE DR. ERALDO SCARANO - 01128260393"</f>
        <v>STUDIO NOTARILE DR. ERALDO SCARANO - 01128260393</v>
      </c>
      <c r="F101" t="str">
        <f>"STUDIO NOTARILE DR. ERALDO SCARANO - 01128260393"</f>
        <v>STUDIO NOTARILE DR. ERALDO SCARANO - 01128260393</v>
      </c>
      <c r="G101" t="str">
        <f>"549,00 EUR"</f>
        <v>549,00 EUR</v>
      </c>
      <c r="H101" t="str">
        <f>"30/06/2018 - 30/06/2018"</f>
        <v>30/06/2018 - 30/06/2018</v>
      </c>
      <c r="I101" t="str">
        <f>"549,00 EUR"</f>
        <v>549,00 EUR</v>
      </c>
    </row>
    <row r="102" spans="1:9" x14ac:dyDescent="0.25">
      <c r="A102" t="str">
        <f>"Z2A23ABA11"</f>
        <v>Z2A23ABA11</v>
      </c>
      <c r="B102" t="str">
        <f t="shared" si="12"/>
        <v>AC Ravenna - 00085710390</v>
      </c>
      <c r="C102" t="str">
        <f>"RECAPITO BOLLO SERENO"</f>
        <v>RECAPITO BOLLO SERENO</v>
      </c>
      <c r="D102" t="str">
        <f t="shared" si="29"/>
        <v>23-AFFIDAMENTO DIRETTO</v>
      </c>
      <c r="E102" t="str">
        <f t="shared" ref="E102:F105" si="30">"FUTURFIL SRL - 02471780391"</f>
        <v>FUTURFIL SRL - 02471780391</v>
      </c>
      <c r="F102" t="str">
        <f t="shared" si="30"/>
        <v>FUTURFIL SRL - 02471780391</v>
      </c>
      <c r="G102" t="str">
        <f>"240,00 EUR"</f>
        <v>240,00 EUR</v>
      </c>
      <c r="H102" t="str">
        <f>"22/05/2018 - 30/06/2018"</f>
        <v>22/05/2018 - 30/06/2018</v>
      </c>
      <c r="I102" t="str">
        <f>"240,00 EUR"</f>
        <v>240,00 EUR</v>
      </c>
    </row>
    <row r="103" spans="1:9" x14ac:dyDescent="0.25">
      <c r="A103" t="str">
        <f>"ZCE23ABA26"</f>
        <v>ZCE23ABA26</v>
      </c>
      <c r="B103" t="str">
        <f t="shared" si="12"/>
        <v>AC Ravenna - 00085710390</v>
      </c>
      <c r="C103" t="str">
        <f>"RECAPITO SOCI"</f>
        <v>RECAPITO SOCI</v>
      </c>
      <c r="D103" t="str">
        <f t="shared" si="29"/>
        <v>23-AFFIDAMENTO DIRETTO</v>
      </c>
      <c r="E103" t="str">
        <f t="shared" si="30"/>
        <v>FUTURFIL SRL - 02471780391</v>
      </c>
      <c r="F103" t="str">
        <f t="shared" si="30"/>
        <v>FUTURFIL SRL - 02471780391</v>
      </c>
      <c r="G103" t="str">
        <f>"72,00 EUR"</f>
        <v>72,00 EUR</v>
      </c>
      <c r="H103" t="str">
        <f>"22/05/2018 - 30/06/2018"</f>
        <v>22/05/2018 - 30/06/2018</v>
      </c>
      <c r="I103" t="str">
        <f>"72,00 EUR"</f>
        <v>72,00 EUR</v>
      </c>
    </row>
    <row r="104" spans="1:9" x14ac:dyDescent="0.25">
      <c r="A104" t="str">
        <f>"Z1523ABA4A"</f>
        <v>Z1523ABA4A</v>
      </c>
      <c r="B104" t="str">
        <f t="shared" si="12"/>
        <v>AC Ravenna - 00085710390</v>
      </c>
      <c r="C104" t="str">
        <f>"RECAPITO PATENTI"</f>
        <v>RECAPITO PATENTI</v>
      </c>
      <c r="D104" t="str">
        <f t="shared" si="29"/>
        <v>23-AFFIDAMENTO DIRETTO</v>
      </c>
      <c r="E104" t="str">
        <f t="shared" si="30"/>
        <v>FUTURFIL SRL - 02471780391</v>
      </c>
      <c r="F104" t="str">
        <f t="shared" si="30"/>
        <v>FUTURFIL SRL - 02471780391</v>
      </c>
      <c r="G104" t="str">
        <f>"232,00 EUR"</f>
        <v>232,00 EUR</v>
      </c>
      <c r="H104" t="str">
        <f>"22/05/2018 - 30/06/2018"</f>
        <v>22/05/2018 - 30/06/2018</v>
      </c>
      <c r="I104" t="str">
        <f>"232,00 EUR"</f>
        <v>232,00 EUR</v>
      </c>
    </row>
    <row r="105" spans="1:9" x14ac:dyDescent="0.25">
      <c r="A105" t="str">
        <f>"ZCF23ABA6B"</f>
        <v>ZCF23ABA6B</v>
      </c>
      <c r="B105" t="str">
        <f t="shared" si="12"/>
        <v>AC Ravenna - 00085710390</v>
      </c>
      <c r="C105" t="str">
        <f>"RECAPITO PATENTI"</f>
        <v>RECAPITO PATENTI</v>
      </c>
      <c r="D105" t="str">
        <f t="shared" si="29"/>
        <v>23-AFFIDAMENTO DIRETTO</v>
      </c>
      <c r="E105" t="str">
        <f t="shared" si="30"/>
        <v>FUTURFIL SRL - 02471780391</v>
      </c>
      <c r="F105" t="str">
        <f t="shared" si="30"/>
        <v>FUTURFIL SRL - 02471780391</v>
      </c>
      <c r="G105" t="str">
        <f>"518,00 EUR"</f>
        <v>518,00 EUR</v>
      </c>
      <c r="H105" t="str">
        <f>"22/05/2018 - 30/06/2018"</f>
        <v>22/05/2018 - 30/06/2018</v>
      </c>
      <c r="I105" t="str">
        <f>"518,00 EUR"</f>
        <v>518,00 EUR</v>
      </c>
    </row>
    <row r="106" spans="1:9" x14ac:dyDescent="0.25">
      <c r="A106" t="str">
        <f>"Z9C23AB96B"</f>
        <v>Z9C23AB96B</v>
      </c>
      <c r="B106" t="str">
        <f t="shared" si="12"/>
        <v>AC Ravenna - 00085710390</v>
      </c>
      <c r="C106" t="str">
        <f>"SERVIZIO ELAB BOLLO SERENO"</f>
        <v>SERVIZIO ELAB BOLLO SERENO</v>
      </c>
      <c r="D106" t="str">
        <f t="shared" si="29"/>
        <v>23-AFFIDAMENTO DIRETTO</v>
      </c>
      <c r="E106" t="str">
        <f t="shared" ref="E106:F108" si="31">"GAMMA INDIRIZZI SRL - 01048250391"</f>
        <v>GAMMA INDIRIZZI SRL - 01048250391</v>
      </c>
      <c r="F106" t="str">
        <f t="shared" si="31"/>
        <v>GAMMA INDIRIZZI SRL - 01048250391</v>
      </c>
      <c r="G106" t="str">
        <f>"198,00 EUR"</f>
        <v>198,00 EUR</v>
      </c>
      <c r="H106" t="str">
        <f>"22/05/2018 - 31/05/2018"</f>
        <v>22/05/2018 - 31/05/2018</v>
      </c>
      <c r="I106" t="str">
        <f>"198,00 EUR"</f>
        <v>198,00 EUR</v>
      </c>
    </row>
    <row r="107" spans="1:9" x14ac:dyDescent="0.25">
      <c r="A107" t="str">
        <f>"Z8E23AB991"</f>
        <v>Z8E23AB991</v>
      </c>
      <c r="B107" t="str">
        <f t="shared" si="12"/>
        <v>AC Ravenna - 00085710390</v>
      </c>
      <c r="C107" t="str">
        <f>"SERVIZIO ELAB SOCI"</f>
        <v>SERVIZIO ELAB SOCI</v>
      </c>
      <c r="D107" t="str">
        <f t="shared" si="29"/>
        <v>23-AFFIDAMENTO DIRETTO</v>
      </c>
      <c r="E107" t="str">
        <f t="shared" si="31"/>
        <v>GAMMA INDIRIZZI SRL - 01048250391</v>
      </c>
      <c r="F107" t="str">
        <f t="shared" si="31"/>
        <v>GAMMA INDIRIZZI SRL - 01048250391</v>
      </c>
      <c r="G107" t="str">
        <f>"79,00 EUR"</f>
        <v>79,00 EUR</v>
      </c>
      <c r="H107" t="str">
        <f>"22/05/2018 - 31/05/2018"</f>
        <v>22/05/2018 - 31/05/2018</v>
      </c>
      <c r="I107" t="str">
        <f>"79,00 EUR"</f>
        <v>79,00 EUR</v>
      </c>
    </row>
    <row r="108" spans="1:9" x14ac:dyDescent="0.25">
      <c r="A108" t="str">
        <f>"Z3023AB9B9"</f>
        <v>Z3023AB9B9</v>
      </c>
      <c r="B108" t="str">
        <f t="shared" si="12"/>
        <v>AC Ravenna - 00085710390</v>
      </c>
      <c r="C108" t="str">
        <f>"SERVIZIO ELAB PATENTI"</f>
        <v>SERVIZIO ELAB PATENTI</v>
      </c>
      <c r="D108" t="str">
        <f t="shared" si="29"/>
        <v>23-AFFIDAMENTO DIRETTO</v>
      </c>
      <c r="E108" t="str">
        <f t="shared" si="31"/>
        <v>GAMMA INDIRIZZI SRL - 01048250391</v>
      </c>
      <c r="F108" t="str">
        <f t="shared" si="31"/>
        <v>GAMMA INDIRIZZI SRL - 01048250391</v>
      </c>
      <c r="G108" t="str">
        <f>"198,00 EUR"</f>
        <v>198,00 EUR</v>
      </c>
      <c r="H108" t="str">
        <f>"22/05/2018 - 31/05/2018"</f>
        <v>22/05/2018 - 31/05/2018</v>
      </c>
      <c r="I108" t="str">
        <f>"198,00 EUR"</f>
        <v>198,00 EUR</v>
      </c>
    </row>
    <row r="109" spans="1:9" x14ac:dyDescent="0.25">
      <c r="A109" t="str">
        <f>"ZF423AB0C8"</f>
        <v>ZF423AB0C8</v>
      </c>
      <c r="B109" t="str">
        <f t="shared" ref="B109:B172" si="32">"AC Ravenna - 00085710390"</f>
        <v>AC Ravenna - 00085710390</v>
      </c>
      <c r="C109" t="str">
        <f>"PUBBLICAZIONE SU QUOTIDIANO LOCALE"</f>
        <v>PUBBLICAZIONE SU QUOTIDIANO LOCALE</v>
      </c>
      <c r="D109" t="str">
        <f t="shared" si="29"/>
        <v>23-AFFIDAMENTO DIRETTO</v>
      </c>
      <c r="E109" t="str">
        <f>"SPE SPA - 00326930377"</f>
        <v>SPE SPA - 00326930377</v>
      </c>
      <c r="F109" t="str">
        <f>"SPE SPA - 00326930377"</f>
        <v>SPE SPA - 00326930377</v>
      </c>
      <c r="G109" t="str">
        <f>"480,00 EUR"</f>
        <v>480,00 EUR</v>
      </c>
      <c r="H109" t="str">
        <f>"21/05/2018 - 31/05/2018"</f>
        <v>21/05/2018 - 31/05/2018</v>
      </c>
      <c r="I109" t="str">
        <f>"480,00 EUR"</f>
        <v>480,00 EUR</v>
      </c>
    </row>
    <row r="110" spans="1:9" x14ac:dyDescent="0.25">
      <c r="A110" t="str">
        <f>"Z2823A829F"</f>
        <v>Z2823A829F</v>
      </c>
      <c r="B110" t="str">
        <f t="shared" si="32"/>
        <v>AC Ravenna - 00085710390</v>
      </c>
      <c r="C110" t="str">
        <f>"ACQUISTO HARDWARE"</f>
        <v>ACQUISTO HARDWARE</v>
      </c>
      <c r="D110" t="str">
        <f t="shared" si="29"/>
        <v>23-AFFIDAMENTO DIRETTO</v>
      </c>
      <c r="E110" t="str">
        <f>"HARVARD SERVICE S.r.l. - 02054730409"</f>
        <v>HARVARD SERVICE S.r.l. - 02054730409</v>
      </c>
      <c r="F110" t="str">
        <f>"HARVARD SERVICE S.r.l. - 02054730409"</f>
        <v>HARVARD SERVICE S.r.l. - 02054730409</v>
      </c>
      <c r="G110" t="str">
        <f>"215,00 EUR"</f>
        <v>215,00 EUR</v>
      </c>
      <c r="H110" t="str">
        <f>"21/05/2018 - 31/05/2018"</f>
        <v>21/05/2018 - 31/05/2018</v>
      </c>
      <c r="I110" t="str">
        <f>"215,00 EUR"</f>
        <v>215,00 EUR</v>
      </c>
    </row>
    <row r="111" spans="1:9" x14ac:dyDescent="0.25">
      <c r="A111" t="str">
        <f>"ZCB23A0AD1"</f>
        <v>ZCB23A0AD1</v>
      </c>
      <c r="B111" t="str">
        <f t="shared" si="32"/>
        <v>AC Ravenna - 00085710390</v>
      </c>
      <c r="C111" t="str">
        <f>"ACQUISTO HARDWARE"</f>
        <v>ACQUISTO HARDWARE</v>
      </c>
      <c r="D111" t="str">
        <f t="shared" si="29"/>
        <v>23-AFFIDAMENTO DIRETTO</v>
      </c>
      <c r="E111" t="str">
        <f>"HARVARD SERVICE S.r.l. - 02054730409"</f>
        <v>HARVARD SERVICE S.r.l. - 02054730409</v>
      </c>
      <c r="F111" t="str">
        <f>"HARVARD SERVICE S.r.l. - 02054730409"</f>
        <v>HARVARD SERVICE S.r.l. - 02054730409</v>
      </c>
      <c r="G111" t="str">
        <f>"232,00 EUR"</f>
        <v>232,00 EUR</v>
      </c>
      <c r="H111" t="str">
        <f>"17/05/2018 - 31/05/2018"</f>
        <v>17/05/2018 - 31/05/2018</v>
      </c>
      <c r="I111" t="str">
        <f>"232,00 EUR"</f>
        <v>232,00 EUR</v>
      </c>
    </row>
    <row r="112" spans="1:9" x14ac:dyDescent="0.25">
      <c r="A112" t="str">
        <f>"ZF523A0869"</f>
        <v>ZF523A0869</v>
      </c>
      <c r="B112" t="str">
        <f t="shared" si="32"/>
        <v>AC Ravenna - 00085710390</v>
      </c>
      <c r="C112" t="str">
        <f>"CANONE MANUTENZIONE SOFTWARE"</f>
        <v>CANONE MANUTENZIONE SOFTWARE</v>
      </c>
      <c r="D112" t="str">
        <f t="shared" si="29"/>
        <v>23-AFFIDAMENTO DIRETTO</v>
      </c>
      <c r="E112" t="str">
        <f>"HARVARD GROUP S.r.l. - 02254110402"</f>
        <v>HARVARD GROUP S.r.l. - 02254110402</v>
      </c>
      <c r="F112" t="str">
        <f>"HARVARD GROUP S.r.l. - 02254110402"</f>
        <v>HARVARD GROUP S.r.l. - 02254110402</v>
      </c>
      <c r="G112" t="str">
        <f>"200,00 EUR"</f>
        <v>200,00 EUR</v>
      </c>
      <c r="H112" t="str">
        <f>"17/05/2018 - 31/12/2018"</f>
        <v>17/05/2018 - 31/12/2018</v>
      </c>
      <c r="I112" t="str">
        <f>"200,00 EUR"</f>
        <v>200,00 EUR</v>
      </c>
    </row>
    <row r="113" spans="1:9" x14ac:dyDescent="0.25">
      <c r="A113" t="str">
        <f>"Z4B23A04C0"</f>
        <v>Z4B23A04C0</v>
      </c>
      <c r="B113" t="str">
        <f t="shared" si="32"/>
        <v>AC Ravenna - 00085710390</v>
      </c>
      <c r="C113" t="str">
        <f>"CANONE MANUTENZIONE SOFTWARE"</f>
        <v>CANONE MANUTENZIONE SOFTWARE</v>
      </c>
      <c r="D113" t="str">
        <f t="shared" si="29"/>
        <v>23-AFFIDAMENTO DIRETTO</v>
      </c>
      <c r="E113" t="str">
        <f>"HARVARD GROUP S.r.l. - 02254110402"</f>
        <v>HARVARD GROUP S.r.l. - 02254110402</v>
      </c>
      <c r="F113" t="str">
        <f>"HARVARD GROUP S.r.l. - 02254110402"</f>
        <v>HARVARD GROUP S.r.l. - 02254110402</v>
      </c>
      <c r="G113" t="str">
        <f>"2.596,00 EUR"</f>
        <v>2.596,00 EUR</v>
      </c>
      <c r="H113" t="str">
        <f>"17/05/2018 - 31/12/2018"</f>
        <v>17/05/2018 - 31/12/2018</v>
      </c>
      <c r="I113" t="str">
        <f>"2.596,00 EUR"</f>
        <v>2.596,00 EUR</v>
      </c>
    </row>
    <row r="114" spans="1:9" x14ac:dyDescent="0.25">
      <c r="A114" t="str">
        <f>"Z662397ED7"</f>
        <v>Z662397ED7</v>
      </c>
      <c r="B114" t="str">
        <f t="shared" si="32"/>
        <v>AC Ravenna - 00085710390</v>
      </c>
      <c r="C114" t="str">
        <f>"MANUTENZIONE IMPIANTI"</f>
        <v>MANUTENZIONE IMPIANTI</v>
      </c>
      <c r="D114" t="str">
        <f t="shared" si="29"/>
        <v>23-AFFIDAMENTO DIRETTO</v>
      </c>
      <c r="E114" t="str">
        <f>"NILO TERMOIDRAULICA SRL - 02500700394"</f>
        <v>NILO TERMOIDRAULICA SRL - 02500700394</v>
      </c>
      <c r="F114" t="str">
        <f>"NILO TERMOIDRAULICA SRL - 02500700394"</f>
        <v>NILO TERMOIDRAULICA SRL - 02500700394</v>
      </c>
      <c r="G114" t="str">
        <f>"250,00 EUR"</f>
        <v>250,00 EUR</v>
      </c>
      <c r="H114" t="str">
        <f>"16/05/2018 - 31/05/2018"</f>
        <v>16/05/2018 - 31/05/2018</v>
      </c>
      <c r="I114" t="str">
        <f>"250,00 EUR"</f>
        <v>250,00 EUR</v>
      </c>
    </row>
    <row r="115" spans="1:9" x14ac:dyDescent="0.25">
      <c r="A115" t="str">
        <f>"Z5C2395BCA"</f>
        <v>Z5C2395BCA</v>
      </c>
      <c r="B115" t="str">
        <f t="shared" si="32"/>
        <v>AC Ravenna - 00085710390</v>
      </c>
      <c r="C115" t="str">
        <f>"CANONE MANUTENZIONE SOFTWARE"</f>
        <v>CANONE MANUTENZIONE SOFTWARE</v>
      </c>
      <c r="D115" t="str">
        <f t="shared" si="29"/>
        <v>23-AFFIDAMENTO DIRETTO</v>
      </c>
      <c r="E115" t="str">
        <f>"HARVARD GROUP S.r.l. - 02254110402"</f>
        <v>HARVARD GROUP S.r.l. - 02254110402</v>
      </c>
      <c r="F115" t="str">
        <f>"HARVARD GROUP S.r.l. - 02254110402"</f>
        <v>HARVARD GROUP S.r.l. - 02254110402</v>
      </c>
      <c r="G115" t="str">
        <f>"6.827,00 EUR"</f>
        <v>6.827,00 EUR</v>
      </c>
      <c r="H115" t="str">
        <f>"15/05/2018 - 31/12/2018"</f>
        <v>15/05/2018 - 31/12/2018</v>
      </c>
      <c r="I115" t="str">
        <f>"6.827,00 EUR"</f>
        <v>6.827,00 EUR</v>
      </c>
    </row>
    <row r="116" spans="1:9" x14ac:dyDescent="0.25">
      <c r="A116" t="str">
        <f>"Z352392EF6"</f>
        <v>Z352392EF6</v>
      </c>
      <c r="B116" t="str">
        <f t="shared" si="32"/>
        <v>AC Ravenna - 00085710390</v>
      </c>
      <c r="C116" t="str">
        <f>"ACQUISTO SOFTWARE LIQUIDAZIONE IVA"</f>
        <v>ACQUISTO SOFTWARE LIQUIDAZIONE IVA</v>
      </c>
      <c r="D116" t="str">
        <f t="shared" si="29"/>
        <v>23-AFFIDAMENTO DIRETTO</v>
      </c>
      <c r="E116" t="str">
        <f>"HARVARD GROUP S.r.l. - 02254110402"</f>
        <v>HARVARD GROUP S.r.l. - 02254110402</v>
      </c>
      <c r="F116" t="str">
        <f>"HARVARD GROUP S.r.l. - 02254110402"</f>
        <v>HARVARD GROUP S.r.l. - 02254110402</v>
      </c>
      <c r="G116" t="str">
        <f>"200,00 EUR"</f>
        <v>200,00 EUR</v>
      </c>
      <c r="H116" t="str">
        <f>"15/05/2018 - 31/05/2018"</f>
        <v>15/05/2018 - 31/05/2018</v>
      </c>
      <c r="I116" t="str">
        <f>"200,00 EUR"</f>
        <v>200,00 EUR</v>
      </c>
    </row>
    <row r="117" spans="1:9" x14ac:dyDescent="0.25">
      <c r="A117" t="str">
        <f>"Z0F23724EA"</f>
        <v>Z0F23724EA</v>
      </c>
      <c r="B117" t="str">
        <f t="shared" si="32"/>
        <v>AC Ravenna - 00085710390</v>
      </c>
      <c r="C117" t="str">
        <f>"MANUTENZIONE IMPIANTI TELEFONICI"</f>
        <v>MANUTENZIONE IMPIANTI TELEFONICI</v>
      </c>
      <c r="D117" t="str">
        <f t="shared" si="29"/>
        <v>23-AFFIDAMENTO DIRETTO</v>
      </c>
      <c r="E117" t="str">
        <f>"ECIS ELETTRONICA SAS - 01400920391"</f>
        <v>ECIS ELETTRONICA SAS - 01400920391</v>
      </c>
      <c r="F117" t="str">
        <f>"ECIS ELETTRONICA SAS - 01400920391"</f>
        <v>ECIS ELETTRONICA SAS - 01400920391</v>
      </c>
      <c r="G117" t="str">
        <f>"60,00 EUR"</f>
        <v>60,00 EUR</v>
      </c>
      <c r="H117" t="str">
        <f>"07/05/2018 - 31/05/2018"</f>
        <v>07/05/2018 - 31/05/2018</v>
      </c>
      <c r="I117" t="str">
        <f>"60,00 EUR"</f>
        <v>60,00 EUR</v>
      </c>
    </row>
    <row r="118" spans="1:9" x14ac:dyDescent="0.25">
      <c r="A118" t="str">
        <f>"Z462368246"</f>
        <v>Z462368246</v>
      </c>
      <c r="B118" t="str">
        <f t="shared" si="32"/>
        <v>AC Ravenna - 00085710390</v>
      </c>
      <c r="C118" t="str">
        <f>"SERVIZIO ELAB PATENTI"</f>
        <v>SERVIZIO ELAB PATENTI</v>
      </c>
      <c r="D118" t="str">
        <f t="shared" si="29"/>
        <v>23-AFFIDAMENTO DIRETTO</v>
      </c>
      <c r="E118" t="str">
        <f t="shared" ref="E118:F120" si="33">"GAMMA INDIRIZZI SRL - 01048250391"</f>
        <v>GAMMA INDIRIZZI SRL - 01048250391</v>
      </c>
      <c r="F118" t="str">
        <f t="shared" si="33"/>
        <v>GAMMA INDIRIZZI SRL - 01048250391</v>
      </c>
      <c r="G118" t="str">
        <f>"287,00 EUR"</f>
        <v>287,00 EUR</v>
      </c>
      <c r="H118" t="str">
        <f t="shared" ref="H118:H123" si="34">"03/05/2018 - 31/05/2018"</f>
        <v>03/05/2018 - 31/05/2018</v>
      </c>
      <c r="I118" t="str">
        <f>"287,00 EUR"</f>
        <v>287,00 EUR</v>
      </c>
    </row>
    <row r="119" spans="1:9" x14ac:dyDescent="0.25">
      <c r="A119" t="str">
        <f>"Z83236820C"</f>
        <v>Z83236820C</v>
      </c>
      <c r="B119" t="str">
        <f t="shared" si="32"/>
        <v>AC Ravenna - 00085710390</v>
      </c>
      <c r="C119" t="str">
        <f>"SERVIZIO ELAB SOCI"</f>
        <v>SERVIZIO ELAB SOCI</v>
      </c>
      <c r="D119" t="str">
        <f t="shared" si="29"/>
        <v>23-AFFIDAMENTO DIRETTO</v>
      </c>
      <c r="E119" t="str">
        <f t="shared" si="33"/>
        <v>GAMMA INDIRIZZI SRL - 01048250391</v>
      </c>
      <c r="F119" t="str">
        <f t="shared" si="33"/>
        <v>GAMMA INDIRIZZI SRL - 01048250391</v>
      </c>
      <c r="G119" t="str">
        <f>"106,00 EUR"</f>
        <v>106,00 EUR</v>
      </c>
      <c r="H119" t="str">
        <f t="shared" si="34"/>
        <v>03/05/2018 - 31/05/2018</v>
      </c>
      <c r="I119" t="str">
        <f>"106,00 EUR"</f>
        <v>106,00 EUR</v>
      </c>
    </row>
    <row r="120" spans="1:9" x14ac:dyDescent="0.25">
      <c r="A120" t="str">
        <f>"Z1523681D0"</f>
        <v>Z1523681D0</v>
      </c>
      <c r="B120" t="str">
        <f t="shared" si="32"/>
        <v>AC Ravenna - 00085710390</v>
      </c>
      <c r="C120" t="str">
        <f>"SERVIZIO ELAB BOLLO SERENO"</f>
        <v>SERVIZIO ELAB BOLLO SERENO</v>
      </c>
      <c r="D120" t="str">
        <f t="shared" si="29"/>
        <v>23-AFFIDAMENTO DIRETTO</v>
      </c>
      <c r="E120" t="str">
        <f t="shared" si="33"/>
        <v>GAMMA INDIRIZZI SRL - 01048250391</v>
      </c>
      <c r="F120" t="str">
        <f t="shared" si="33"/>
        <v>GAMMA INDIRIZZI SRL - 01048250391</v>
      </c>
      <c r="G120" t="str">
        <f>"587,00 EUR"</f>
        <v>587,00 EUR</v>
      </c>
      <c r="H120" t="str">
        <f t="shared" si="34"/>
        <v>03/05/2018 - 31/05/2018</v>
      </c>
      <c r="I120" t="str">
        <f>"587,00 EUR"</f>
        <v>587,00 EUR</v>
      </c>
    </row>
    <row r="121" spans="1:9" x14ac:dyDescent="0.25">
      <c r="A121" t="str">
        <f>"Z5D23680A1"</f>
        <v>Z5D23680A1</v>
      </c>
      <c r="B121" t="str">
        <f t="shared" si="32"/>
        <v>AC Ravenna - 00085710390</v>
      </c>
      <c r="C121" t="str">
        <f>"RECAPITO BOLLO SERENO"</f>
        <v>RECAPITO BOLLO SERENO</v>
      </c>
      <c r="D121" t="str">
        <f t="shared" si="29"/>
        <v>23-AFFIDAMENTO DIRETTO</v>
      </c>
      <c r="E121" t="str">
        <f t="shared" ref="E121:F123" si="35">"FUTURFIL SRL - 02471780391"</f>
        <v>FUTURFIL SRL - 02471780391</v>
      </c>
      <c r="F121" t="str">
        <f t="shared" si="35"/>
        <v>FUTURFIL SRL - 02471780391</v>
      </c>
      <c r="G121" t="str">
        <f>"818,00 EUR"</f>
        <v>818,00 EUR</v>
      </c>
      <c r="H121" t="str">
        <f t="shared" si="34"/>
        <v>03/05/2018 - 31/05/2018</v>
      </c>
      <c r="I121" t="str">
        <f>"818,00 EUR"</f>
        <v>818,00 EUR</v>
      </c>
    </row>
    <row r="122" spans="1:9" x14ac:dyDescent="0.25">
      <c r="A122" t="str">
        <f>"ZAE23680E4"</f>
        <v>ZAE23680E4</v>
      </c>
      <c r="B122" t="str">
        <f t="shared" si="32"/>
        <v>AC Ravenna - 00085710390</v>
      </c>
      <c r="C122" t="str">
        <f>"RECAPITO SOCI"</f>
        <v>RECAPITO SOCI</v>
      </c>
      <c r="D122" t="str">
        <f t="shared" si="29"/>
        <v>23-AFFIDAMENTO DIRETTO</v>
      </c>
      <c r="E122" t="str">
        <f t="shared" si="35"/>
        <v>FUTURFIL SRL - 02471780391</v>
      </c>
      <c r="F122" t="str">
        <f t="shared" si="35"/>
        <v>FUTURFIL SRL - 02471780391</v>
      </c>
      <c r="G122" t="str">
        <f>"137,00 EUR"</f>
        <v>137,00 EUR</v>
      </c>
      <c r="H122" t="str">
        <f t="shared" si="34"/>
        <v>03/05/2018 - 31/05/2018</v>
      </c>
      <c r="I122" t="str">
        <f>"137,00 EUR"</f>
        <v>137,00 EUR</v>
      </c>
    </row>
    <row r="123" spans="1:9" x14ac:dyDescent="0.25">
      <c r="A123" t="str">
        <f>"Z5F236812B"</f>
        <v>Z5F236812B</v>
      </c>
      <c r="B123" t="str">
        <f t="shared" si="32"/>
        <v>AC Ravenna - 00085710390</v>
      </c>
      <c r="C123" t="str">
        <f>"RECAPITO PATENTI"</f>
        <v>RECAPITO PATENTI</v>
      </c>
      <c r="D123" t="str">
        <f t="shared" si="29"/>
        <v>23-AFFIDAMENTO DIRETTO</v>
      </c>
      <c r="E123" t="str">
        <f t="shared" si="35"/>
        <v>FUTURFIL SRL - 02471780391</v>
      </c>
      <c r="F123" t="str">
        <f t="shared" si="35"/>
        <v>FUTURFIL SRL - 02471780391</v>
      </c>
      <c r="G123" t="str">
        <f>"253,00 EUR"</f>
        <v>253,00 EUR</v>
      </c>
      <c r="H123" t="str">
        <f t="shared" si="34"/>
        <v>03/05/2018 - 31/05/2018</v>
      </c>
      <c r="I123" t="str">
        <f>"253,00 EUR"</f>
        <v>253,00 EUR</v>
      </c>
    </row>
    <row r="124" spans="1:9" x14ac:dyDescent="0.25">
      <c r="A124" t="str">
        <f>"Z09235D204"</f>
        <v>Z09235D204</v>
      </c>
      <c r="B124" t="str">
        <f t="shared" si="32"/>
        <v>AC Ravenna - 00085710390</v>
      </c>
      <c r="C124" t="str">
        <f>"MANUTENZIONE CONDIZIONATORE"</f>
        <v>MANUTENZIONE CONDIZIONATORE</v>
      </c>
      <c r="D124" t="str">
        <f t="shared" si="29"/>
        <v>23-AFFIDAMENTO DIRETTO</v>
      </c>
      <c r="E124" t="str">
        <f>"VALLORANI GABRIELE E FORTUNATO SNC - 00371690405"</f>
        <v>VALLORANI GABRIELE E FORTUNATO SNC - 00371690405</v>
      </c>
      <c r="F124" t="str">
        <f>"VALLORANI GABRIELE E FORTUNATO SNC - 00371690405"</f>
        <v>VALLORANI GABRIELE E FORTUNATO SNC - 00371690405</v>
      </c>
      <c r="G124" t="str">
        <f>"475,00 EUR"</f>
        <v>475,00 EUR</v>
      </c>
      <c r="H124" t="str">
        <f>"27/04/2018 - 15/05/2018"</f>
        <v>27/04/2018 - 15/05/2018</v>
      </c>
      <c r="I124" t="str">
        <f>"475,00 EUR"</f>
        <v>475,00 EUR</v>
      </c>
    </row>
    <row r="125" spans="1:9" x14ac:dyDescent="0.25">
      <c r="A125" t="str">
        <f>"Z86232EF19"</f>
        <v>Z86232EF19</v>
      </c>
      <c r="B125" t="str">
        <f t="shared" si="32"/>
        <v>AC Ravenna - 00085710390</v>
      </c>
      <c r="C125" t="str">
        <f>"MODULISTICA UFFICIO AA"</f>
        <v>MODULISTICA UFFICIO AA</v>
      </c>
      <c r="D125" t="str">
        <f t="shared" si="29"/>
        <v>23-AFFIDAMENTO DIRETTO</v>
      </c>
      <c r="E125" t="str">
        <f>"TIPOLITOGRAFIA MAZZANTI S.r.l. - 02091850392"</f>
        <v>TIPOLITOGRAFIA MAZZANTI S.r.l. - 02091850392</v>
      </c>
      <c r="F125" t="str">
        <f>"TIPOLITOGRAFIA MAZZANTI S.r.l. - 02091850392"</f>
        <v>TIPOLITOGRAFIA MAZZANTI S.r.l. - 02091850392</v>
      </c>
      <c r="G125" t="str">
        <f>"135,00 EUR"</f>
        <v>135,00 EUR</v>
      </c>
      <c r="H125" t="str">
        <f>"14/04/2018 - 30/04/2018"</f>
        <v>14/04/2018 - 30/04/2018</v>
      </c>
      <c r="I125" t="str">
        <f>"135,00 EUR"</f>
        <v>135,00 EUR</v>
      </c>
    </row>
    <row r="126" spans="1:9" x14ac:dyDescent="0.25">
      <c r="A126" t="str">
        <f>"ZF02303CFC"</f>
        <v>ZF02303CFC</v>
      </c>
      <c r="B126" t="str">
        <f t="shared" si="32"/>
        <v>AC Ravenna - 00085710390</v>
      </c>
      <c r="C126" t="str">
        <f>"PUBBLICAZIONE SU QUOTIDIANO LOCALE"</f>
        <v>PUBBLICAZIONE SU QUOTIDIANO LOCALE</v>
      </c>
      <c r="D126" t="str">
        <f t="shared" si="29"/>
        <v>23-AFFIDAMENTO DIRETTO</v>
      </c>
      <c r="E126" t="str">
        <f>"SPE SPA - 00326930377"</f>
        <v>SPE SPA - 00326930377</v>
      </c>
      <c r="F126" t="str">
        <f>"SPE SPA - 00326930377"</f>
        <v>SPE SPA - 00326930377</v>
      </c>
      <c r="G126" t="str">
        <f>"587,00 EUR"</f>
        <v>587,00 EUR</v>
      </c>
      <c r="H126" t="str">
        <f>"03/04/2018 - 10/04/2018"</f>
        <v>03/04/2018 - 10/04/2018</v>
      </c>
      <c r="I126" t="str">
        <f>"587,00 EUR"</f>
        <v>587,00 EUR</v>
      </c>
    </row>
    <row r="127" spans="1:9" x14ac:dyDescent="0.25">
      <c r="A127" t="str">
        <f>"Z8F2303D50"</f>
        <v>Z8F2303D50</v>
      </c>
      <c r="B127" t="str">
        <f t="shared" si="32"/>
        <v>AC Ravenna - 00085710390</v>
      </c>
      <c r="C127" t="str">
        <f>"PUBBLICAZIONE SU QUOTIDIANO LOCALE"</f>
        <v>PUBBLICAZIONE SU QUOTIDIANO LOCALE</v>
      </c>
      <c r="D127" t="str">
        <f t="shared" si="29"/>
        <v>23-AFFIDAMENTO DIRETTO</v>
      </c>
      <c r="E127" t="str">
        <f>"SPE SPA - 00326930377"</f>
        <v>SPE SPA - 00326930377</v>
      </c>
      <c r="F127" t="str">
        <f>"SPE SPA - 00326930377"</f>
        <v>SPE SPA - 00326930377</v>
      </c>
      <c r="G127" t="str">
        <f>"487,00 EUR"</f>
        <v>487,00 EUR</v>
      </c>
      <c r="H127" t="str">
        <f>"03/04/2018 - 10/04/2018"</f>
        <v>03/04/2018 - 10/04/2018</v>
      </c>
      <c r="I127" t="str">
        <f>"487,00 EUR"</f>
        <v>487,00 EUR</v>
      </c>
    </row>
    <row r="128" spans="1:9" x14ac:dyDescent="0.25">
      <c r="A128" t="str">
        <f>"Z9322FB716"</f>
        <v>Z9322FB716</v>
      </c>
      <c r="B128" t="str">
        <f t="shared" si="32"/>
        <v>AC Ravenna - 00085710390</v>
      </c>
      <c r="C128" t="str">
        <f>"FORNITURA GASOLIO"</f>
        <v>FORNITURA GASOLIO</v>
      </c>
      <c r="D128" t="str">
        <f t="shared" si="29"/>
        <v>23-AFFIDAMENTO DIRETTO</v>
      </c>
      <c r="E128" t="str">
        <f>"Q8 QUASER SRL - 06543251000"</f>
        <v>Q8 QUASER SRL - 06543251000</v>
      </c>
      <c r="F128" t="str">
        <f>"Q8 QUASER SRL - 06543251000"</f>
        <v>Q8 QUASER SRL - 06543251000</v>
      </c>
      <c r="G128" t="str">
        <f>"1.789,00 EUR"</f>
        <v>1.789,00 EUR</v>
      </c>
      <c r="H128" t="str">
        <f>"29/03/2018 - 30/04/2018"</f>
        <v>29/03/2018 - 30/04/2018</v>
      </c>
      <c r="I128" t="str">
        <f>"1.789,00 EUR"</f>
        <v>1.789,00 EUR</v>
      </c>
    </row>
    <row r="129" spans="1:9" x14ac:dyDescent="0.25">
      <c r="A129" t="str">
        <f>"ZA322E79CE"</f>
        <v>ZA322E79CE</v>
      </c>
      <c r="B129" t="str">
        <f t="shared" si="32"/>
        <v>AC Ravenna - 00085710390</v>
      </c>
      <c r="C129" t="str">
        <f>"SERVIZIO ELAB. PATENTI"</f>
        <v>SERVIZIO ELAB. PATENTI</v>
      </c>
      <c r="D129" t="str">
        <f t="shared" si="29"/>
        <v>23-AFFIDAMENTO DIRETTO</v>
      </c>
      <c r="E129" t="str">
        <f t="shared" ref="E129:F131" si="36">"GAMMA INDIRIZZI SRL - 01048250391"</f>
        <v>GAMMA INDIRIZZI SRL - 01048250391</v>
      </c>
      <c r="F129" t="str">
        <f t="shared" si="36"/>
        <v>GAMMA INDIRIZZI SRL - 01048250391</v>
      </c>
      <c r="G129" t="str">
        <f>"68,00 EUR"</f>
        <v>68,00 EUR</v>
      </c>
      <c r="H129" t="str">
        <f>"23/03/2018 - 30/04/2018"</f>
        <v>23/03/2018 - 30/04/2018</v>
      </c>
      <c r="I129" t="str">
        <f>"68,00 EUR"</f>
        <v>68,00 EUR</v>
      </c>
    </row>
    <row r="130" spans="1:9" x14ac:dyDescent="0.25">
      <c r="A130" t="str">
        <f>"Z4322E796C"</f>
        <v>Z4322E796C</v>
      </c>
      <c r="B130" t="str">
        <f t="shared" si="32"/>
        <v>AC Ravenna - 00085710390</v>
      </c>
      <c r="C130" t="str">
        <f>"SERVIZIO ELAB. SOCI"</f>
        <v>SERVIZIO ELAB. SOCI</v>
      </c>
      <c r="D130" t="str">
        <f t="shared" ref="D130:D145" si="37">"23-AFFIDAMENTO DIRETTO"</f>
        <v>23-AFFIDAMENTO DIRETTO</v>
      </c>
      <c r="E130" t="str">
        <f t="shared" si="36"/>
        <v>GAMMA INDIRIZZI SRL - 01048250391</v>
      </c>
      <c r="F130" t="str">
        <f t="shared" si="36"/>
        <v>GAMMA INDIRIZZI SRL - 01048250391</v>
      </c>
      <c r="G130" t="str">
        <f>"110,00 EUR"</f>
        <v>110,00 EUR</v>
      </c>
      <c r="H130" t="str">
        <f>"23/03/2018 - 30/04/2018"</f>
        <v>23/03/2018 - 30/04/2018</v>
      </c>
      <c r="I130" t="str">
        <f>"110,00 EUR"</f>
        <v>110,00 EUR</v>
      </c>
    </row>
    <row r="131" spans="1:9" x14ac:dyDescent="0.25">
      <c r="A131" t="str">
        <f>"ZC122E7911"</f>
        <v>ZC122E7911</v>
      </c>
      <c r="B131" t="str">
        <f t="shared" si="32"/>
        <v>AC Ravenna - 00085710390</v>
      </c>
      <c r="C131" t="str">
        <f>"SERVIZIO ELAB. BOLSE"</f>
        <v>SERVIZIO ELAB. BOLSE</v>
      </c>
      <c r="D131" t="str">
        <f t="shared" si="37"/>
        <v>23-AFFIDAMENTO DIRETTO</v>
      </c>
      <c r="E131" t="str">
        <f t="shared" si="36"/>
        <v>GAMMA INDIRIZZI SRL - 01048250391</v>
      </c>
      <c r="F131" t="str">
        <f t="shared" si="36"/>
        <v>GAMMA INDIRIZZI SRL - 01048250391</v>
      </c>
      <c r="G131" t="str">
        <f>"386,00 EUR"</f>
        <v>386,00 EUR</v>
      </c>
      <c r="H131" t="str">
        <f>"23/03/2018 - 30/04/2018"</f>
        <v>23/03/2018 - 30/04/2018</v>
      </c>
      <c r="I131" t="str">
        <f>"386,00 EUR"</f>
        <v>386,00 EUR</v>
      </c>
    </row>
    <row r="132" spans="1:9" x14ac:dyDescent="0.25">
      <c r="A132" t="str">
        <f>"Z8D22E266B"</f>
        <v>Z8D22E266B</v>
      </c>
      <c r="B132" t="str">
        <f t="shared" si="32"/>
        <v>AC Ravenna - 00085710390</v>
      </c>
      <c r="C132" t="str">
        <f>"RECAPITO BOLSE"</f>
        <v>RECAPITO BOLSE</v>
      </c>
      <c r="D132" t="str">
        <f t="shared" si="37"/>
        <v>23-AFFIDAMENTO DIRETTO</v>
      </c>
      <c r="E132" t="str">
        <f t="shared" ref="E132:F134" si="38">"FUTURFIL SRL - 02471780391"</f>
        <v>FUTURFIL SRL - 02471780391</v>
      </c>
      <c r="F132" t="str">
        <f t="shared" si="38"/>
        <v>FUTURFIL SRL - 02471780391</v>
      </c>
      <c r="G132" t="str">
        <f>"558,00 EUR"</f>
        <v>558,00 EUR</v>
      </c>
      <c r="H132" t="str">
        <f>"22/03/2018 - 30/04/2018"</f>
        <v>22/03/2018 - 30/04/2018</v>
      </c>
      <c r="I132" t="str">
        <f>"558,00 EUR"</f>
        <v>558,00 EUR</v>
      </c>
    </row>
    <row r="133" spans="1:9" x14ac:dyDescent="0.25">
      <c r="A133" t="str">
        <f>"Z5022E26A5"</f>
        <v>Z5022E26A5</v>
      </c>
      <c r="B133" t="str">
        <f t="shared" si="32"/>
        <v>AC Ravenna - 00085710390</v>
      </c>
      <c r="C133" t="str">
        <f>"RECAPITO SOCI"</f>
        <v>RECAPITO SOCI</v>
      </c>
      <c r="D133" t="str">
        <f t="shared" si="37"/>
        <v>23-AFFIDAMENTO DIRETTO</v>
      </c>
      <c r="E133" t="str">
        <f t="shared" si="38"/>
        <v>FUTURFIL SRL - 02471780391</v>
      </c>
      <c r="F133" t="str">
        <f t="shared" si="38"/>
        <v>FUTURFIL SRL - 02471780391</v>
      </c>
      <c r="G133" t="str">
        <f>"131,00 EUR"</f>
        <v>131,00 EUR</v>
      </c>
      <c r="H133" t="str">
        <f>"22/03/2018 - 30/04/2018"</f>
        <v>22/03/2018 - 30/04/2018</v>
      </c>
      <c r="I133" t="str">
        <f>"131,00 EUR"</f>
        <v>131,00 EUR</v>
      </c>
    </row>
    <row r="134" spans="1:9" x14ac:dyDescent="0.25">
      <c r="A134" t="str">
        <f>"ZA822E26D5"</f>
        <v>ZA822E26D5</v>
      </c>
      <c r="B134" t="str">
        <f t="shared" si="32"/>
        <v>AC Ravenna - 00085710390</v>
      </c>
      <c r="C134" t="str">
        <f>"RECAPITO PATENTI"</f>
        <v>RECAPITO PATENTI</v>
      </c>
      <c r="D134" t="str">
        <f t="shared" si="37"/>
        <v>23-AFFIDAMENTO DIRETTO</v>
      </c>
      <c r="E134" t="str">
        <f t="shared" si="38"/>
        <v>FUTURFIL SRL - 02471780391</v>
      </c>
      <c r="F134" t="str">
        <f t="shared" si="38"/>
        <v>FUTURFIL SRL - 02471780391</v>
      </c>
      <c r="G134" t="str">
        <f>"258,00 EUR"</f>
        <v>258,00 EUR</v>
      </c>
      <c r="H134" t="str">
        <f>"22/03/2018 - 30/04/2018"</f>
        <v>22/03/2018 - 30/04/2018</v>
      </c>
      <c r="I134" t="str">
        <f>"258,00 EUR"</f>
        <v>258,00 EUR</v>
      </c>
    </row>
    <row r="135" spans="1:9" x14ac:dyDescent="0.25">
      <c r="A135" t="str">
        <f>"Z6B22B43C9"</f>
        <v>Z6B22B43C9</v>
      </c>
      <c r="B135" t="str">
        <f t="shared" si="32"/>
        <v>AC Ravenna - 00085710390</v>
      </c>
      <c r="C135" t="str">
        <f>"MANUTENZIONE MARCATEMPO"</f>
        <v>MANUTENZIONE MARCATEMPO</v>
      </c>
      <c r="D135" t="str">
        <f t="shared" si="37"/>
        <v>23-AFFIDAMENTO DIRETTO</v>
      </c>
      <c r="E135" t="str">
        <f>"ELCO SISTEMI SRL - 03246960409"</f>
        <v>ELCO SISTEMI SRL - 03246960409</v>
      </c>
      <c r="F135" t="str">
        <f>"ELCO SISTEMI SRL - 03246960409"</f>
        <v>ELCO SISTEMI SRL - 03246960409</v>
      </c>
      <c r="G135" t="str">
        <f>"18,00 EUR"</f>
        <v>18,00 EUR</v>
      </c>
      <c r="H135" t="str">
        <f>"10/03/2018 - 31/03/2018"</f>
        <v>10/03/2018 - 31/03/2018</v>
      </c>
      <c r="I135" t="str">
        <f>"18,00 EUR"</f>
        <v>18,00 EUR</v>
      </c>
    </row>
    <row r="136" spans="1:9" x14ac:dyDescent="0.25">
      <c r="A136" t="str">
        <f>"ZCB227262A"</f>
        <v>ZCB227262A</v>
      </c>
      <c r="B136" t="str">
        <f t="shared" si="32"/>
        <v>AC Ravenna - 00085710390</v>
      </c>
      <c r="C136" t="str">
        <f>"MODULISTICA UFFICIO ASSISTENZA"</f>
        <v>MODULISTICA UFFICIO ASSISTENZA</v>
      </c>
      <c r="D136" t="str">
        <f t="shared" si="37"/>
        <v>23-AFFIDAMENTO DIRETTO</v>
      </c>
      <c r="E136" t="str">
        <f>"SAMORANI S.R.L. - 02705640403"</f>
        <v>SAMORANI S.R.L. - 02705640403</v>
      </c>
      <c r="F136" t="str">
        <f>"SAMORANI S.R.L. - 02705640403"</f>
        <v>SAMORANI S.R.L. - 02705640403</v>
      </c>
      <c r="G136" t="str">
        <f>"320,00 EUR"</f>
        <v>320,00 EUR</v>
      </c>
      <c r="H136" t="str">
        <f>"22/02/2018 - 31/03/2018"</f>
        <v>22/02/2018 - 31/03/2018</v>
      </c>
      <c r="I136" t="str">
        <f>"320,00 EUR"</f>
        <v>320,00 EUR</v>
      </c>
    </row>
    <row r="137" spans="1:9" x14ac:dyDescent="0.25">
      <c r="A137" t="str">
        <f>"ZCF2263707"</f>
        <v>ZCF2263707</v>
      </c>
      <c r="B137" t="str">
        <f t="shared" si="32"/>
        <v>AC Ravenna - 00085710390</v>
      </c>
      <c r="C137" t="str">
        <f>"BUFFET RIUNIONE DELEGATI"</f>
        <v>BUFFET RIUNIONE DELEGATI</v>
      </c>
      <c r="D137" t="str">
        <f t="shared" si="37"/>
        <v>23-AFFIDAMENTO DIRETTO</v>
      </c>
      <c r="E137" t="str">
        <f>"DELITIA SRL - 02554030391"</f>
        <v>DELITIA SRL - 02554030391</v>
      </c>
      <c r="F137" t="str">
        <f>"DELITIA SRL - 02554030391"</f>
        <v>DELITIA SRL - 02554030391</v>
      </c>
      <c r="G137" t="str">
        <f>"244,00 EUR"</f>
        <v>244,00 EUR</v>
      </c>
      <c r="H137" t="str">
        <f>"20/02/2018 - 31/03/2018"</f>
        <v>20/02/2018 - 31/03/2018</v>
      </c>
      <c r="I137" t="str">
        <f>"244,00 EUR"</f>
        <v>244,00 EUR</v>
      </c>
    </row>
    <row r="138" spans="1:9" x14ac:dyDescent="0.25">
      <c r="A138" t="str">
        <f>"Z0EE225C34"</f>
        <v>Z0EE225C34</v>
      </c>
      <c r="B138" t="str">
        <f t="shared" si="32"/>
        <v>AC Ravenna - 00085710390</v>
      </c>
      <c r="C138" t="str">
        <f>"SERVIZIO ELAB. BOLSE"</f>
        <v>SERVIZIO ELAB. BOLSE</v>
      </c>
      <c r="D138" t="str">
        <f t="shared" si="37"/>
        <v>23-AFFIDAMENTO DIRETTO</v>
      </c>
      <c r="E138" t="str">
        <f t="shared" ref="E138:F140" si="39">"GAMMA INDIRIZZI SRL - 01048250391"</f>
        <v>GAMMA INDIRIZZI SRL - 01048250391</v>
      </c>
      <c r="F138" t="str">
        <f t="shared" si="39"/>
        <v>GAMMA INDIRIZZI SRL - 01048250391</v>
      </c>
      <c r="G138" t="str">
        <f>"650,00 EUR"</f>
        <v>650,00 EUR</v>
      </c>
      <c r="H138" t="str">
        <f t="shared" ref="H138:H143" si="40">"19/02/2018 - 31/03/2018"</f>
        <v>19/02/2018 - 31/03/2018</v>
      </c>
      <c r="I138" t="str">
        <f>"650,00 EUR"</f>
        <v>650,00 EUR</v>
      </c>
    </row>
    <row r="139" spans="1:9" x14ac:dyDescent="0.25">
      <c r="A139" t="str">
        <f>"Z25225C398"</f>
        <v>Z25225C398</v>
      </c>
      <c r="B139" t="str">
        <f t="shared" si="32"/>
        <v>AC Ravenna - 00085710390</v>
      </c>
      <c r="C139" t="str">
        <f>"SERVIZIO ELAB. SOCI"</f>
        <v>SERVIZIO ELAB. SOCI</v>
      </c>
      <c r="D139" t="str">
        <f t="shared" si="37"/>
        <v>23-AFFIDAMENTO DIRETTO</v>
      </c>
      <c r="E139" t="str">
        <f t="shared" si="39"/>
        <v>GAMMA INDIRIZZI SRL - 01048250391</v>
      </c>
      <c r="F139" t="str">
        <f t="shared" si="39"/>
        <v>GAMMA INDIRIZZI SRL - 01048250391</v>
      </c>
      <c r="G139" t="str">
        <f>"108,00 EUR"</f>
        <v>108,00 EUR</v>
      </c>
      <c r="H139" t="str">
        <f t="shared" si="40"/>
        <v>19/02/2018 - 31/03/2018</v>
      </c>
      <c r="I139" t="str">
        <f>"108,00 EUR"</f>
        <v>108,00 EUR</v>
      </c>
    </row>
    <row r="140" spans="1:9" x14ac:dyDescent="0.25">
      <c r="A140" t="str">
        <f>"ZDC225C3E5"</f>
        <v>ZDC225C3E5</v>
      </c>
      <c r="B140" t="str">
        <f t="shared" si="32"/>
        <v>AC Ravenna - 00085710390</v>
      </c>
      <c r="C140" t="str">
        <f>"SERVIZIO ELAB. SOCI"</f>
        <v>SERVIZIO ELAB. SOCI</v>
      </c>
      <c r="D140" t="str">
        <f t="shared" si="37"/>
        <v>23-AFFIDAMENTO DIRETTO</v>
      </c>
      <c r="E140" t="str">
        <f t="shared" si="39"/>
        <v>GAMMA INDIRIZZI SRL - 01048250391</v>
      </c>
      <c r="F140" t="str">
        <f t="shared" si="39"/>
        <v>GAMMA INDIRIZZI SRL - 01048250391</v>
      </c>
      <c r="G140" t="str">
        <f>"70,00 EUR"</f>
        <v>70,00 EUR</v>
      </c>
      <c r="H140" t="str">
        <f t="shared" si="40"/>
        <v>19/02/2018 - 31/03/2018</v>
      </c>
      <c r="I140" t="str">
        <f>"70,00 EUR"</f>
        <v>70,00 EUR</v>
      </c>
    </row>
    <row r="141" spans="1:9" x14ac:dyDescent="0.25">
      <c r="A141" t="str">
        <f>"Z22225C4BF"</f>
        <v>Z22225C4BF</v>
      </c>
      <c r="B141" t="str">
        <f t="shared" si="32"/>
        <v>AC Ravenna - 00085710390</v>
      </c>
      <c r="C141" t="str">
        <f>"RECAPITO BOLSE"</f>
        <v>RECAPITO BOLSE</v>
      </c>
      <c r="D141" t="str">
        <f t="shared" si="37"/>
        <v>23-AFFIDAMENTO DIRETTO</v>
      </c>
      <c r="E141" t="str">
        <f t="shared" ref="E141:F143" si="41">"FUTURFIL SRL - 02471780391"</f>
        <v>FUTURFIL SRL - 02471780391</v>
      </c>
      <c r="F141" t="str">
        <f t="shared" si="41"/>
        <v>FUTURFIL SRL - 02471780391</v>
      </c>
      <c r="G141" t="str">
        <f>"972,00 EUR"</f>
        <v>972,00 EUR</v>
      </c>
      <c r="H141" t="str">
        <f t="shared" si="40"/>
        <v>19/02/2018 - 31/03/2018</v>
      </c>
      <c r="I141" t="str">
        <f>"972,00 EUR"</f>
        <v>972,00 EUR</v>
      </c>
    </row>
    <row r="142" spans="1:9" x14ac:dyDescent="0.25">
      <c r="A142" t="str">
        <f>"Z39225C510"</f>
        <v>Z39225C510</v>
      </c>
      <c r="B142" t="str">
        <f t="shared" si="32"/>
        <v>AC Ravenna - 00085710390</v>
      </c>
      <c r="C142" t="str">
        <f>"RECAPITO SOCI"</f>
        <v>RECAPITO SOCI</v>
      </c>
      <c r="D142" t="str">
        <f t="shared" si="37"/>
        <v>23-AFFIDAMENTO DIRETTO</v>
      </c>
      <c r="E142" t="str">
        <f t="shared" si="41"/>
        <v>FUTURFIL SRL - 02471780391</v>
      </c>
      <c r="F142" t="str">
        <f t="shared" si="41"/>
        <v>FUTURFIL SRL - 02471780391</v>
      </c>
      <c r="G142" t="str">
        <f>"140,00 EUR"</f>
        <v>140,00 EUR</v>
      </c>
      <c r="H142" t="str">
        <f t="shared" si="40"/>
        <v>19/02/2018 - 31/03/2018</v>
      </c>
      <c r="I142" t="str">
        <f>"140,00 EUR"</f>
        <v>140,00 EUR</v>
      </c>
    </row>
    <row r="143" spans="1:9" x14ac:dyDescent="0.25">
      <c r="A143" t="str">
        <f>"Z86225C53A"</f>
        <v>Z86225C53A</v>
      </c>
      <c r="B143" t="str">
        <f t="shared" si="32"/>
        <v>AC Ravenna - 00085710390</v>
      </c>
      <c r="C143" t="str">
        <f>"RECAPITO PATENTI"</f>
        <v>RECAPITO PATENTI</v>
      </c>
      <c r="D143" t="str">
        <f t="shared" si="37"/>
        <v>23-AFFIDAMENTO DIRETTO</v>
      </c>
      <c r="E143" t="str">
        <f t="shared" si="41"/>
        <v>FUTURFIL SRL - 02471780391</v>
      </c>
      <c r="F143" t="str">
        <f t="shared" si="41"/>
        <v>FUTURFIL SRL - 02471780391</v>
      </c>
      <c r="G143" t="str">
        <f>"269,00 EUR"</f>
        <v>269,00 EUR</v>
      </c>
      <c r="H143" t="str">
        <f t="shared" si="40"/>
        <v>19/02/2018 - 31/03/2018</v>
      </c>
      <c r="I143" t="str">
        <f>"269,00 EUR"</f>
        <v>269,00 EUR</v>
      </c>
    </row>
    <row r="144" spans="1:9" x14ac:dyDescent="0.25">
      <c r="A144" t="str">
        <f>"Z5B2253F14"</f>
        <v>Z5B2253F14</v>
      </c>
      <c r="B144" t="str">
        <f t="shared" si="32"/>
        <v>AC Ravenna - 00085710390</v>
      </c>
      <c r="C144" t="str">
        <f>"INSERZIONE PAGINE GIALLE"</f>
        <v>INSERZIONE PAGINE GIALLE</v>
      </c>
      <c r="D144" t="str">
        <f t="shared" si="37"/>
        <v>23-AFFIDAMENTO DIRETTO</v>
      </c>
      <c r="E144" t="str">
        <f>"ITALIA ON LINE SRL - 11120300154"</f>
        <v>ITALIA ON LINE SRL - 11120300154</v>
      </c>
      <c r="F144" t="str">
        <f>"ITALIA ON LINE SRL - 11120300154"</f>
        <v>ITALIA ON LINE SRL - 11120300154</v>
      </c>
      <c r="G144" t="str">
        <f>"935,00 EUR"</f>
        <v>935,00 EUR</v>
      </c>
      <c r="H144" t="str">
        <f>"15/02/2018 - 31/03/2018"</f>
        <v>15/02/2018 - 31/03/2018</v>
      </c>
      <c r="I144" t="str">
        <f>"935,00 EUR"</f>
        <v>935,00 EUR</v>
      </c>
    </row>
    <row r="145" spans="1:9" x14ac:dyDescent="0.25">
      <c r="A145" t="str">
        <f>"ZF5224240D"</f>
        <v>ZF5224240D</v>
      </c>
      <c r="B145" t="str">
        <f t="shared" si="32"/>
        <v>AC Ravenna - 00085710390</v>
      </c>
      <c r="C145" t="str">
        <f>"MANUTENZIONE ESTINTORI"</f>
        <v>MANUTENZIONE ESTINTORI</v>
      </c>
      <c r="D145" t="str">
        <f t="shared" si="37"/>
        <v>23-AFFIDAMENTO DIRETTO</v>
      </c>
      <c r="E145" t="str">
        <f>"NUOVA OLP IMPIANTI SRL - 01478520396"</f>
        <v>NUOVA OLP IMPIANTI SRL - 01478520396</v>
      </c>
      <c r="F145" t="str">
        <f>"NUOVA OLP IMPIANTI SRL - 01478520396"</f>
        <v>NUOVA OLP IMPIANTI SRL - 01478520396</v>
      </c>
      <c r="G145" t="str">
        <f>"145,00 EUR"</f>
        <v>145,00 EUR</v>
      </c>
      <c r="H145" t="str">
        <f>"12/02/2018 - 28/02/2018"</f>
        <v>12/02/2018 - 28/02/2018</v>
      </c>
      <c r="I145" t="str">
        <f>"145,00 EUR"</f>
        <v>145,00 EUR</v>
      </c>
    </row>
    <row r="146" spans="1:9" x14ac:dyDescent="0.25">
      <c r="A146" t="str">
        <f>"Z4E220AEC7"</f>
        <v>Z4E220AEC7</v>
      </c>
      <c r="B146" t="str">
        <f t="shared" si="32"/>
        <v>AC Ravenna - 00085710390</v>
      </c>
      <c r="C146" t="str">
        <f>"FORNITURA GASOLIO"</f>
        <v>FORNITURA GASOLIO</v>
      </c>
      <c r="D146" t="str">
        <f>"26-AFFIDAMENTO DIRETTO IN ADESIONE AD ACCORDO QUADRO/CONVENZIONE"</f>
        <v>26-AFFIDAMENTO DIRETTO IN ADESIONE AD ACCORDO QUADRO/CONVENZIONE</v>
      </c>
      <c r="E146" t="str">
        <f>"Q8 QUASER SRL - 06543251000"</f>
        <v>Q8 QUASER SRL - 06543251000</v>
      </c>
      <c r="F146" t="str">
        <f>"Q8 QUASER SRL - 06543251000"</f>
        <v>Q8 QUASER SRL - 06543251000</v>
      </c>
      <c r="G146" t="str">
        <f>"1.789,00 EUR"</f>
        <v>1.789,00 EUR</v>
      </c>
      <c r="H146" t="str">
        <f>"05/02/2018 - 28/02/2018"</f>
        <v>05/02/2018 - 28/02/2018</v>
      </c>
      <c r="I146" t="str">
        <f>"1.789,00 EUR"</f>
        <v>1.789,00 EUR</v>
      </c>
    </row>
    <row r="147" spans="1:9" x14ac:dyDescent="0.25">
      <c r="A147" t="str">
        <f>"ZC821E07D7"</f>
        <v>ZC821E07D7</v>
      </c>
      <c r="B147" t="str">
        <f t="shared" si="32"/>
        <v>AC Ravenna - 00085710390</v>
      </c>
      <c r="C147" t="str">
        <f>"STAMPATI"</f>
        <v>STAMPATI</v>
      </c>
      <c r="D147" t="str">
        <f t="shared" ref="D147:D162" si="42">"23-AFFIDAMENTO DIRETTO"</f>
        <v>23-AFFIDAMENTO DIRETTO</v>
      </c>
      <c r="E147" t="str">
        <f t="shared" ref="E147:F149" si="43">"TIPOLITOGRAFIA MAZZANTI S.r.l. - 02091850392"</f>
        <v>TIPOLITOGRAFIA MAZZANTI S.r.l. - 02091850392</v>
      </c>
      <c r="F147" t="str">
        <f t="shared" si="43"/>
        <v>TIPOLITOGRAFIA MAZZANTI S.r.l. - 02091850392</v>
      </c>
      <c r="G147" t="str">
        <f>"315,00 EUR"</f>
        <v>315,00 EUR</v>
      </c>
      <c r="H147" t="str">
        <f>"25/01/2018 - 28/02/2018"</f>
        <v>25/01/2018 - 28/02/2018</v>
      </c>
      <c r="I147" t="str">
        <f>"315,00 EUR"</f>
        <v>315,00 EUR</v>
      </c>
    </row>
    <row r="148" spans="1:9" x14ac:dyDescent="0.25">
      <c r="A148" t="str">
        <f>"ZEE21E0942"</f>
        <v>ZEE21E0942</v>
      </c>
      <c r="B148" t="str">
        <f t="shared" si="32"/>
        <v>AC Ravenna - 00085710390</v>
      </c>
      <c r="C148" t="str">
        <f>"STAMPATI"</f>
        <v>STAMPATI</v>
      </c>
      <c r="D148" t="str">
        <f t="shared" si="42"/>
        <v>23-AFFIDAMENTO DIRETTO</v>
      </c>
      <c r="E148" t="str">
        <f t="shared" si="43"/>
        <v>TIPOLITOGRAFIA MAZZANTI S.r.l. - 02091850392</v>
      </c>
      <c r="F148" t="str">
        <f t="shared" si="43"/>
        <v>TIPOLITOGRAFIA MAZZANTI S.r.l. - 02091850392</v>
      </c>
      <c r="G148" t="str">
        <f>"335,00 EUR"</f>
        <v>335,00 EUR</v>
      </c>
      <c r="H148" t="str">
        <f>"25/01/2018 - 28/02/2018"</f>
        <v>25/01/2018 - 28/02/2018</v>
      </c>
      <c r="I148" t="str">
        <f>"335,00 EUR"</f>
        <v>335,00 EUR</v>
      </c>
    </row>
    <row r="149" spans="1:9" x14ac:dyDescent="0.25">
      <c r="A149" t="str">
        <f>"ZC721E088D"</f>
        <v>ZC721E088D</v>
      </c>
      <c r="B149" t="str">
        <f t="shared" si="32"/>
        <v>AC Ravenna - 00085710390</v>
      </c>
      <c r="C149" t="str">
        <f>"STAMPATI"</f>
        <v>STAMPATI</v>
      </c>
      <c r="D149" t="str">
        <f t="shared" si="42"/>
        <v>23-AFFIDAMENTO DIRETTO</v>
      </c>
      <c r="E149" t="str">
        <f t="shared" si="43"/>
        <v>TIPOLITOGRAFIA MAZZANTI S.r.l. - 02091850392</v>
      </c>
      <c r="F149" t="str">
        <f t="shared" si="43"/>
        <v>TIPOLITOGRAFIA MAZZANTI S.r.l. - 02091850392</v>
      </c>
      <c r="G149" t="str">
        <f>"270,00 EUR"</f>
        <v>270,00 EUR</v>
      </c>
      <c r="H149" t="str">
        <f>"25/01/2018 - 28/02/2018"</f>
        <v>25/01/2018 - 28/02/2018</v>
      </c>
      <c r="I149" t="str">
        <f>"270,00 EUR"</f>
        <v>270,00 EUR</v>
      </c>
    </row>
    <row r="150" spans="1:9" x14ac:dyDescent="0.25">
      <c r="A150" t="str">
        <f>"Z2321CFDC8"</f>
        <v>Z2321CFDC8</v>
      </c>
      <c r="B150" t="str">
        <f t="shared" si="32"/>
        <v>AC Ravenna - 00085710390</v>
      </c>
      <c r="C150" t="str">
        <f>"RECAPITI BOLSE"</f>
        <v>RECAPITI BOLSE</v>
      </c>
      <c r="D150" t="str">
        <f t="shared" si="42"/>
        <v>23-AFFIDAMENTO DIRETTO</v>
      </c>
      <c r="E150" t="str">
        <f t="shared" ref="E150:F152" si="44">"FUTURFIL SRL - 02471780391"</f>
        <v>FUTURFIL SRL - 02471780391</v>
      </c>
      <c r="F150" t="str">
        <f t="shared" si="44"/>
        <v>FUTURFIL SRL - 02471780391</v>
      </c>
      <c r="G150" t="str">
        <f>"574,00 EUR"</f>
        <v>574,00 EUR</v>
      </c>
      <c r="H150" t="str">
        <f t="shared" ref="H150:H155" si="45">"22/01/2018 - 28/02/2018"</f>
        <v>22/01/2018 - 28/02/2018</v>
      </c>
      <c r="I150" t="str">
        <f>"574,00 EUR"</f>
        <v>574,00 EUR</v>
      </c>
    </row>
    <row r="151" spans="1:9" x14ac:dyDescent="0.25">
      <c r="A151" t="str">
        <f>"Z0121CFD71"</f>
        <v>Z0121CFD71</v>
      </c>
      <c r="B151" t="str">
        <f t="shared" si="32"/>
        <v>AC Ravenna - 00085710390</v>
      </c>
      <c r="C151" t="str">
        <f>"RECAPITO PATENTI"</f>
        <v>RECAPITO PATENTI</v>
      </c>
      <c r="D151" t="str">
        <f t="shared" si="42"/>
        <v>23-AFFIDAMENTO DIRETTO</v>
      </c>
      <c r="E151" t="str">
        <f t="shared" si="44"/>
        <v>FUTURFIL SRL - 02471780391</v>
      </c>
      <c r="F151" t="str">
        <f t="shared" si="44"/>
        <v>FUTURFIL SRL - 02471780391</v>
      </c>
      <c r="G151" t="str">
        <f>"221,00 EUR"</f>
        <v>221,00 EUR</v>
      </c>
      <c r="H151" t="str">
        <f t="shared" si="45"/>
        <v>22/01/2018 - 28/02/2018</v>
      </c>
      <c r="I151" t="str">
        <f>"221,00 EUR"</f>
        <v>221,00 EUR</v>
      </c>
    </row>
    <row r="152" spans="1:9" x14ac:dyDescent="0.25">
      <c r="A152" t="str">
        <f>"Z2C21CFD44"</f>
        <v>Z2C21CFD44</v>
      </c>
      <c r="B152" t="str">
        <f t="shared" si="32"/>
        <v>AC Ravenna - 00085710390</v>
      </c>
      <c r="C152" t="str">
        <f>"RECAPITO SOCI"</f>
        <v>RECAPITO SOCI</v>
      </c>
      <c r="D152" t="str">
        <f t="shared" si="42"/>
        <v>23-AFFIDAMENTO DIRETTO</v>
      </c>
      <c r="E152" t="str">
        <f t="shared" si="44"/>
        <v>FUTURFIL SRL - 02471780391</v>
      </c>
      <c r="F152" t="str">
        <f t="shared" si="44"/>
        <v>FUTURFIL SRL - 02471780391</v>
      </c>
      <c r="G152" t="str">
        <f>"146,00 EUR"</f>
        <v>146,00 EUR</v>
      </c>
      <c r="H152" t="str">
        <f t="shared" si="45"/>
        <v>22/01/2018 - 28/02/2018</v>
      </c>
      <c r="I152" t="str">
        <f>"146,00 EUR"</f>
        <v>146,00 EUR</v>
      </c>
    </row>
    <row r="153" spans="1:9" x14ac:dyDescent="0.25">
      <c r="A153" t="str">
        <f>"Z8921CGCD7"</f>
        <v>Z8921CGCD7</v>
      </c>
      <c r="B153" t="str">
        <f t="shared" si="32"/>
        <v>AC Ravenna - 00085710390</v>
      </c>
      <c r="C153" t="str">
        <f>"SERVIZI ELAB. BOLSE"</f>
        <v>SERVIZI ELAB. BOLSE</v>
      </c>
      <c r="D153" t="str">
        <f t="shared" si="42"/>
        <v>23-AFFIDAMENTO DIRETTO</v>
      </c>
      <c r="E153" t="str">
        <f t="shared" ref="E153:F155" si="46">"GAMMA INDIRIZZI SRL - 01048250391"</f>
        <v>GAMMA INDIRIZZI SRL - 01048250391</v>
      </c>
      <c r="F153" t="str">
        <f t="shared" si="46"/>
        <v>GAMMA INDIRIZZI SRL - 01048250391</v>
      </c>
      <c r="G153" t="str">
        <f>"396,00 EUR"</f>
        <v>396,00 EUR</v>
      </c>
      <c r="H153" t="str">
        <f t="shared" si="45"/>
        <v>22/01/2018 - 28/02/2018</v>
      </c>
      <c r="I153" t="str">
        <f>"396,00 EUR"</f>
        <v>396,00 EUR</v>
      </c>
    </row>
    <row r="154" spans="1:9" x14ac:dyDescent="0.25">
      <c r="A154" t="str">
        <f>"Z5821CGC61"</f>
        <v>Z5821CGC61</v>
      </c>
      <c r="B154" t="str">
        <f t="shared" si="32"/>
        <v>AC Ravenna - 00085710390</v>
      </c>
      <c r="C154" t="str">
        <f>"SERVIZIO ELAB. PATENTI"</f>
        <v>SERVIZIO ELAB. PATENTI</v>
      </c>
      <c r="D154" t="str">
        <f t="shared" si="42"/>
        <v>23-AFFIDAMENTO DIRETTO</v>
      </c>
      <c r="E154" t="str">
        <f t="shared" si="46"/>
        <v>GAMMA INDIRIZZI SRL - 01048250391</v>
      </c>
      <c r="F154" t="str">
        <f t="shared" si="46"/>
        <v>GAMMA INDIRIZZI SRL - 01048250391</v>
      </c>
      <c r="G154" t="str">
        <f>"59,00 EUR"</f>
        <v>59,00 EUR</v>
      </c>
      <c r="H154" t="str">
        <f t="shared" si="45"/>
        <v>22/01/2018 - 28/02/2018</v>
      </c>
      <c r="I154" t="str">
        <f>"59,00 EUR"</f>
        <v>59,00 EUR</v>
      </c>
    </row>
    <row r="155" spans="1:9" x14ac:dyDescent="0.25">
      <c r="A155" t="str">
        <f>"Z1D21CGC2A"</f>
        <v>Z1D21CGC2A</v>
      </c>
      <c r="B155" t="str">
        <f t="shared" si="32"/>
        <v>AC Ravenna - 00085710390</v>
      </c>
      <c r="C155" t="str">
        <f>"SERVIZIO ELAB. SOCI"</f>
        <v>SERVIZIO ELAB. SOCI</v>
      </c>
      <c r="D155" t="str">
        <f t="shared" si="42"/>
        <v>23-AFFIDAMENTO DIRETTO</v>
      </c>
      <c r="E155" t="str">
        <f t="shared" si="46"/>
        <v>GAMMA INDIRIZZI SRL - 01048250391</v>
      </c>
      <c r="F155" t="str">
        <f t="shared" si="46"/>
        <v>GAMMA INDIRIZZI SRL - 01048250391</v>
      </c>
      <c r="G155" t="str">
        <f>"109,00 EUR"</f>
        <v>109,00 EUR</v>
      </c>
      <c r="H155" t="str">
        <f t="shared" si="45"/>
        <v>22/01/2018 - 28/02/2018</v>
      </c>
      <c r="I155" t="str">
        <f>"109,00 EUR"</f>
        <v>109,00 EUR</v>
      </c>
    </row>
    <row r="156" spans="1:9" x14ac:dyDescent="0.25">
      <c r="A156" t="str">
        <f>"Z7F21A2C71"</f>
        <v>Z7F21A2C71</v>
      </c>
      <c r="B156" t="str">
        <f t="shared" si="32"/>
        <v>AC Ravenna - 00085710390</v>
      </c>
      <c r="C156" t="str">
        <f>"ASSISTENZA FISCALE"</f>
        <v>ASSISTENZA FISCALE</v>
      </c>
      <c r="D156" t="str">
        <f t="shared" si="42"/>
        <v>23-AFFIDAMENTO DIRETTO</v>
      </c>
      <c r="E156" t="str">
        <f>"SAYES SC.TRA PROFESSIONISTI - 02550640391"</f>
        <v>SAYES SC.TRA PROFESSIONISTI - 02550640391</v>
      </c>
      <c r="F156" t="str">
        <f>"SAYES SC.TRA PROFESSIONISTI - 02550640391"</f>
        <v>SAYES SC.TRA PROFESSIONISTI - 02550640391</v>
      </c>
      <c r="G156" t="str">
        <f>"340,00 EUR"</f>
        <v>340,00 EUR</v>
      </c>
      <c r="H156" t="str">
        <f>"09/01/2018 - 31/01/2018"</f>
        <v>09/01/2018 - 31/01/2018</v>
      </c>
      <c r="I156" t="str">
        <f>"340,00 EUR"</f>
        <v>340,00 EUR</v>
      </c>
    </row>
    <row r="157" spans="1:9" x14ac:dyDescent="0.25">
      <c r="A157" t="str">
        <f>"Z3B21A0390"</f>
        <v>Z3B21A0390</v>
      </c>
      <c r="B157" t="str">
        <f t="shared" si="32"/>
        <v>AC Ravenna - 00085710390</v>
      </c>
      <c r="C157" t="str">
        <f>"FORNITURA CANCELLERIA"</f>
        <v>FORNITURA CANCELLERIA</v>
      </c>
      <c r="D157" t="str">
        <f t="shared" si="42"/>
        <v>23-AFFIDAMENTO DIRETTO</v>
      </c>
      <c r="E157" t="str">
        <f>"EUROPA SYSTEM SRL - 02060730401"</f>
        <v>EUROPA SYSTEM SRL - 02060730401</v>
      </c>
      <c r="F157" t="str">
        <f>"EUROPA SYSTEM SRL - 02060730401"</f>
        <v>EUROPA SYSTEM SRL - 02060730401</v>
      </c>
      <c r="G157" t="str">
        <f>"27,00 EUR"</f>
        <v>27,00 EUR</v>
      </c>
      <c r="H157" t="str">
        <f>"09/01/2018 - 31/05/2018"</f>
        <v>09/01/2018 - 31/05/2018</v>
      </c>
      <c r="I157" t="str">
        <f>"27,00 EUR"</f>
        <v>27,00 EUR</v>
      </c>
    </row>
    <row r="158" spans="1:9" x14ac:dyDescent="0.25">
      <c r="A158" t="str">
        <f>"Z2521A0289"</f>
        <v>Z2521A0289</v>
      </c>
      <c r="B158" t="str">
        <f t="shared" si="32"/>
        <v>AC Ravenna - 00085710390</v>
      </c>
      <c r="C158" t="str">
        <f>"ABBONAMENTO EGAF 2018"</f>
        <v>ABBONAMENTO EGAF 2018</v>
      </c>
      <c r="D158" t="str">
        <f t="shared" si="42"/>
        <v>23-AFFIDAMENTO DIRETTO</v>
      </c>
      <c r="E158" t="str">
        <f>"EGAF EDIZIONI SRL - 02259990402"</f>
        <v>EGAF EDIZIONI SRL - 02259990402</v>
      </c>
      <c r="F158" t="str">
        <f>"EGAF EDIZIONI SRL - 02259990402"</f>
        <v>EGAF EDIZIONI SRL - 02259990402</v>
      </c>
      <c r="G158" t="str">
        <f>"206,00 EUR"</f>
        <v>206,00 EUR</v>
      </c>
      <c r="H158" t="str">
        <f>"09/01/2018 - 31/01/2018"</f>
        <v>09/01/2018 - 31/01/2018</v>
      </c>
      <c r="I158" t="str">
        <f>"206,00 EUR"</f>
        <v>206,00 EUR</v>
      </c>
    </row>
    <row r="159" spans="1:9" x14ac:dyDescent="0.25">
      <c r="A159" t="str">
        <f>"Z5621A0204"</f>
        <v>Z5621A0204</v>
      </c>
      <c r="B159" t="str">
        <f t="shared" si="32"/>
        <v>AC Ravenna - 00085710390</v>
      </c>
      <c r="C159" t="str">
        <f>"ASSISTENZA OROLOGIO MARCATEMPO"</f>
        <v>ASSISTENZA OROLOGIO MARCATEMPO</v>
      </c>
      <c r="D159" t="str">
        <f t="shared" si="42"/>
        <v>23-AFFIDAMENTO DIRETTO</v>
      </c>
      <c r="E159" t="str">
        <f>"ELCO SISTEMI SRL - 03246960409"</f>
        <v>ELCO SISTEMI SRL - 03246960409</v>
      </c>
      <c r="F159" t="str">
        <f>"ELCO SISTEMI SRL - 03246960409"</f>
        <v>ELCO SISTEMI SRL - 03246960409</v>
      </c>
      <c r="G159" t="str">
        <f>"120,00 EUR"</f>
        <v>120,00 EUR</v>
      </c>
      <c r="H159" t="str">
        <f>"09/01/2018 - 31/01/2018"</f>
        <v>09/01/2018 - 31/01/2018</v>
      </c>
      <c r="I159" t="str">
        <f>"120,00 EUR"</f>
        <v>120,00 EUR</v>
      </c>
    </row>
    <row r="160" spans="1:9" x14ac:dyDescent="0.25">
      <c r="A160" t="str">
        <f>"Z6C219914F"</f>
        <v>Z6C219914F</v>
      </c>
      <c r="B160" t="str">
        <f t="shared" si="32"/>
        <v>AC Ravenna - 00085710390</v>
      </c>
      <c r="C160" t="str">
        <f>"ABBONAMENTO QUOTIDIANO 2018"</f>
        <v>ABBONAMENTO QUOTIDIANO 2018</v>
      </c>
      <c r="D160" t="str">
        <f t="shared" si="42"/>
        <v>23-AFFIDAMENTO DIRETTO</v>
      </c>
      <c r="E160" t="str">
        <f>"IL SOLE 24 ORE SPA - 00777910159"</f>
        <v>IL SOLE 24 ORE SPA - 00777910159</v>
      </c>
      <c r="F160" t="str">
        <f>"IL SOLE 24 ORE SPA - 00777910159"</f>
        <v>IL SOLE 24 ORE SPA - 00777910159</v>
      </c>
      <c r="G160" t="str">
        <f>"229,00 EUR"</f>
        <v>229,00 EUR</v>
      </c>
      <c r="H160" t="str">
        <f>"05/01/2018 - 28/02/2018"</f>
        <v>05/01/2018 - 28/02/2018</v>
      </c>
      <c r="I160" t="str">
        <f>"348,00 EUR"</f>
        <v>348,00 EUR</v>
      </c>
    </row>
    <row r="161" spans="1:9" x14ac:dyDescent="0.25">
      <c r="A161" t="str">
        <f>"Z5E2193E1E"</f>
        <v>Z5E2193E1E</v>
      </c>
      <c r="B161" t="str">
        <f t="shared" si="32"/>
        <v>AC Ravenna - 00085710390</v>
      </c>
      <c r="C161" t="str">
        <f>"CARTUCCIA AFFRANCATRICE"</f>
        <v>CARTUCCIA AFFRANCATRICE</v>
      </c>
      <c r="D161" t="str">
        <f t="shared" si="42"/>
        <v>23-AFFIDAMENTO DIRETTO</v>
      </c>
      <c r="E161" t="str">
        <f>"NEOPOST RENTAL ITALIA SRL - 05448770965"</f>
        <v>NEOPOST RENTAL ITALIA SRL - 05448770965</v>
      </c>
      <c r="F161" t="str">
        <f>"NEOPOST RENTAL ITALIA SRL - 05448770965"</f>
        <v>NEOPOST RENTAL ITALIA SRL - 05448770965</v>
      </c>
      <c r="G161" t="str">
        <f>"215,00 EUR"</f>
        <v>215,00 EUR</v>
      </c>
      <c r="H161" t="str">
        <f>"03/01/2018 - 31/01/2018"</f>
        <v>03/01/2018 - 31/01/2018</v>
      </c>
      <c r="I161" t="str">
        <f>"215,00 EUR"</f>
        <v>215,00 EUR</v>
      </c>
    </row>
    <row r="162" spans="1:9" x14ac:dyDescent="0.25">
      <c r="A162" t="str">
        <f>"ZB01FDF1DE"</f>
        <v>ZB01FDF1DE</v>
      </c>
      <c r="B162" t="str">
        <f t="shared" si="32"/>
        <v>AC Ravenna - 00085710390</v>
      </c>
      <c r="C162" t="str">
        <f>"OMAGGI CAMPAGNA SOCIALE 2018"</f>
        <v>OMAGGI CAMPAGNA SOCIALE 2018</v>
      </c>
      <c r="D162" t="str">
        <f t="shared" si="42"/>
        <v>23-AFFIDAMENTO DIRETTO</v>
      </c>
      <c r="E162" t="str">
        <f>"SUNUP S.r.l. - 03496530365"</f>
        <v>SUNUP S.r.l. - 03496530365</v>
      </c>
      <c r="F162" t="str">
        <f>"SUNUP S.r.l. - 03496530365"</f>
        <v>SUNUP S.r.l. - 03496530365</v>
      </c>
      <c r="G162" t="str">
        <f>"9.730,00 EUR"</f>
        <v>9.730,00 EUR</v>
      </c>
      <c r="H162" t="str">
        <f>"13/09/2017 - 28/02/2018"</f>
        <v>13/09/2017 - 28/02/2018</v>
      </c>
      <c r="I162" t="str">
        <f>"9.730,00 EUR"</f>
        <v>9.730,00 EUR</v>
      </c>
    </row>
    <row r="163" spans="1:9" x14ac:dyDescent="0.25">
      <c r="A163" t="str">
        <f t="shared" ref="A163:A174" si="47">"0000000000"</f>
        <v>0000000000</v>
      </c>
      <c r="B163" t="str">
        <f t="shared" si="32"/>
        <v>AC Ravenna - 00085710390</v>
      </c>
      <c r="C163" t="str">
        <f t="shared" ref="C163:C174" si="48">"CONVENZIONE ACRA/ACITOUR SERVICE SRL PER SERVIZI VARI"</f>
        <v>CONVENZIONE ACRA/ACITOUR SERVICE SRL PER SERVIZI VARI</v>
      </c>
      <c r="D163" t="str">
        <f t="shared" ref="D163:D174" si="49">"24-AFFIDAMENTO DIRETTO A SOCIETA' IN HOUSE"</f>
        <v>24-AFFIDAMENTO DIRETTO A SOCIETA' IN HOUSE</v>
      </c>
      <c r="E163" t="str">
        <f t="shared" ref="E163:F174" si="50">"ACITOUR SERVICE SRL in house - 01032170399"</f>
        <v>ACITOUR SERVICE SRL in house - 01032170399</v>
      </c>
      <c r="F163" t="str">
        <f t="shared" si="50"/>
        <v>ACITOUR SERVICE SRL in house - 01032170399</v>
      </c>
      <c r="G163" t="str">
        <f>"50.000,00 EUR"</f>
        <v>50.000,00 EUR</v>
      </c>
      <c r="H163" t="str">
        <f t="shared" ref="H163:H174" si="51">"01/01/2019 - 31/12/2019"</f>
        <v>01/01/2019 - 31/12/2019</v>
      </c>
      <c r="I163" t="str">
        <f>"50.000,00 EUR"</f>
        <v>50.000,00 EUR</v>
      </c>
    </row>
    <row r="164" spans="1:9" x14ac:dyDescent="0.25">
      <c r="A164" t="str">
        <f t="shared" si="47"/>
        <v>0000000000</v>
      </c>
      <c r="B164" t="str">
        <f t="shared" si="32"/>
        <v>AC Ravenna - 00085710390</v>
      </c>
      <c r="C164" t="str">
        <f t="shared" si="48"/>
        <v>CONVENZIONE ACRA/ACITOUR SERVICE SRL PER SERVIZI VARI</v>
      </c>
      <c r="D164" t="str">
        <f t="shared" si="49"/>
        <v>24-AFFIDAMENTO DIRETTO A SOCIETA' IN HOUSE</v>
      </c>
      <c r="E164" t="str">
        <f t="shared" si="50"/>
        <v>ACITOUR SERVICE SRL in house - 01032170399</v>
      </c>
      <c r="F164" t="str">
        <f t="shared" si="50"/>
        <v>ACITOUR SERVICE SRL in house - 01032170399</v>
      </c>
      <c r="G164" t="str">
        <f>"40.000,00 EUR"</f>
        <v>40.000,00 EUR</v>
      </c>
      <c r="H164" t="str">
        <f t="shared" si="51"/>
        <v>01/01/2019 - 31/12/2019</v>
      </c>
      <c r="I164" t="str">
        <f>"40.000,00 EUR"</f>
        <v>40.000,00 EUR</v>
      </c>
    </row>
    <row r="165" spans="1:9" x14ac:dyDescent="0.25">
      <c r="A165" t="str">
        <f t="shared" si="47"/>
        <v>0000000000</v>
      </c>
      <c r="B165" t="str">
        <f t="shared" si="32"/>
        <v>AC Ravenna - 00085710390</v>
      </c>
      <c r="C165" t="str">
        <f t="shared" si="48"/>
        <v>CONVENZIONE ACRA/ACITOUR SERVICE SRL PER SERVIZI VARI</v>
      </c>
      <c r="D165" t="str">
        <f t="shared" si="49"/>
        <v>24-AFFIDAMENTO DIRETTO A SOCIETA' IN HOUSE</v>
      </c>
      <c r="E165" t="str">
        <f t="shared" si="50"/>
        <v>ACITOUR SERVICE SRL in house - 01032170399</v>
      </c>
      <c r="F165" t="str">
        <f t="shared" si="50"/>
        <v>ACITOUR SERVICE SRL in house - 01032170399</v>
      </c>
      <c r="G165" t="str">
        <f>"10.000,00 EUR"</f>
        <v>10.000,00 EUR</v>
      </c>
      <c r="H165" t="str">
        <f t="shared" si="51"/>
        <v>01/01/2019 - 31/12/2019</v>
      </c>
      <c r="I165" t="str">
        <f>"10.000,00 EUR"</f>
        <v>10.000,00 EUR</v>
      </c>
    </row>
    <row r="166" spans="1:9" x14ac:dyDescent="0.25">
      <c r="A166" t="str">
        <f t="shared" si="47"/>
        <v>0000000000</v>
      </c>
      <c r="B166" t="str">
        <f t="shared" si="32"/>
        <v>AC Ravenna - 00085710390</v>
      </c>
      <c r="C166" t="str">
        <f t="shared" si="48"/>
        <v>CONVENZIONE ACRA/ACITOUR SERVICE SRL PER SERVIZI VARI</v>
      </c>
      <c r="D166" t="str">
        <f t="shared" si="49"/>
        <v>24-AFFIDAMENTO DIRETTO A SOCIETA' IN HOUSE</v>
      </c>
      <c r="E166" t="str">
        <f t="shared" si="50"/>
        <v>ACITOUR SERVICE SRL in house - 01032170399</v>
      </c>
      <c r="F166" t="str">
        <f t="shared" si="50"/>
        <v>ACITOUR SERVICE SRL in house - 01032170399</v>
      </c>
      <c r="G166" t="str">
        <f>"25.000,00 EUR"</f>
        <v>25.000,00 EUR</v>
      </c>
      <c r="H166" t="str">
        <f t="shared" si="51"/>
        <v>01/01/2019 - 31/12/2019</v>
      </c>
      <c r="I166" t="str">
        <f>"25.000,00 EUR"</f>
        <v>25.000,00 EUR</v>
      </c>
    </row>
    <row r="167" spans="1:9" x14ac:dyDescent="0.25">
      <c r="A167" t="str">
        <f t="shared" si="47"/>
        <v>0000000000</v>
      </c>
      <c r="B167" t="str">
        <f t="shared" si="32"/>
        <v>AC Ravenna - 00085710390</v>
      </c>
      <c r="C167" t="str">
        <f t="shared" si="48"/>
        <v>CONVENZIONE ACRA/ACITOUR SERVICE SRL PER SERVIZI VARI</v>
      </c>
      <c r="D167" t="str">
        <f t="shared" si="49"/>
        <v>24-AFFIDAMENTO DIRETTO A SOCIETA' IN HOUSE</v>
      </c>
      <c r="E167" t="str">
        <f t="shared" si="50"/>
        <v>ACITOUR SERVICE SRL in house - 01032170399</v>
      </c>
      <c r="F167" t="str">
        <f t="shared" si="50"/>
        <v>ACITOUR SERVICE SRL in house - 01032170399</v>
      </c>
      <c r="G167" t="str">
        <f>"25.000,00 EUR"</f>
        <v>25.000,00 EUR</v>
      </c>
      <c r="H167" t="str">
        <f t="shared" si="51"/>
        <v>01/01/2019 - 31/12/2019</v>
      </c>
      <c r="I167" t="str">
        <f>"25.000,00 EUR"</f>
        <v>25.000,00 EUR</v>
      </c>
    </row>
    <row r="168" spans="1:9" x14ac:dyDescent="0.25">
      <c r="A168" t="str">
        <f t="shared" si="47"/>
        <v>0000000000</v>
      </c>
      <c r="B168" t="str">
        <f t="shared" si="32"/>
        <v>AC Ravenna - 00085710390</v>
      </c>
      <c r="C168" t="str">
        <f t="shared" si="48"/>
        <v>CONVENZIONE ACRA/ACITOUR SERVICE SRL PER SERVIZI VARI</v>
      </c>
      <c r="D168" t="str">
        <f t="shared" si="49"/>
        <v>24-AFFIDAMENTO DIRETTO A SOCIETA' IN HOUSE</v>
      </c>
      <c r="E168" t="str">
        <f t="shared" si="50"/>
        <v>ACITOUR SERVICE SRL in house - 01032170399</v>
      </c>
      <c r="F168" t="str">
        <f t="shared" si="50"/>
        <v>ACITOUR SERVICE SRL in house - 01032170399</v>
      </c>
      <c r="G168" t="str">
        <f>"50.000,00 EUR"</f>
        <v>50.000,00 EUR</v>
      </c>
      <c r="H168" t="str">
        <f t="shared" si="51"/>
        <v>01/01/2019 - 31/12/2019</v>
      </c>
      <c r="I168" t="str">
        <f>"50.000,00 EUR"</f>
        <v>50.000,00 EUR</v>
      </c>
    </row>
    <row r="169" spans="1:9" x14ac:dyDescent="0.25">
      <c r="A169" t="str">
        <f t="shared" si="47"/>
        <v>0000000000</v>
      </c>
      <c r="B169" t="str">
        <f t="shared" si="32"/>
        <v>AC Ravenna - 00085710390</v>
      </c>
      <c r="C169" t="str">
        <f t="shared" si="48"/>
        <v>CONVENZIONE ACRA/ACITOUR SERVICE SRL PER SERVIZI VARI</v>
      </c>
      <c r="D169" t="str">
        <f t="shared" si="49"/>
        <v>24-AFFIDAMENTO DIRETTO A SOCIETA' IN HOUSE</v>
      </c>
      <c r="E169" t="str">
        <f t="shared" si="50"/>
        <v>ACITOUR SERVICE SRL in house - 01032170399</v>
      </c>
      <c r="F169" t="str">
        <f t="shared" si="50"/>
        <v>ACITOUR SERVICE SRL in house - 01032170399</v>
      </c>
      <c r="G169" t="str">
        <f>"50.000,00 EUR"</f>
        <v>50.000,00 EUR</v>
      </c>
      <c r="H169" t="str">
        <f t="shared" si="51"/>
        <v>01/01/2019 - 31/12/2019</v>
      </c>
      <c r="I169" t="str">
        <f>"50.000,00 EUR"</f>
        <v>50.000,00 EUR</v>
      </c>
    </row>
    <row r="170" spans="1:9" x14ac:dyDescent="0.25">
      <c r="A170" t="str">
        <f t="shared" si="47"/>
        <v>0000000000</v>
      </c>
      <c r="B170" t="str">
        <f t="shared" si="32"/>
        <v>AC Ravenna - 00085710390</v>
      </c>
      <c r="C170" t="str">
        <f t="shared" si="48"/>
        <v>CONVENZIONE ACRA/ACITOUR SERVICE SRL PER SERVIZI VARI</v>
      </c>
      <c r="D170" t="str">
        <f t="shared" si="49"/>
        <v>24-AFFIDAMENTO DIRETTO A SOCIETA' IN HOUSE</v>
      </c>
      <c r="E170" t="str">
        <f t="shared" si="50"/>
        <v>ACITOUR SERVICE SRL in house - 01032170399</v>
      </c>
      <c r="F170" t="str">
        <f t="shared" si="50"/>
        <v>ACITOUR SERVICE SRL in house - 01032170399</v>
      </c>
      <c r="G170" t="str">
        <f>"40.000,00 EUR"</f>
        <v>40.000,00 EUR</v>
      </c>
      <c r="H170" t="str">
        <f t="shared" si="51"/>
        <v>01/01/2019 - 31/12/2019</v>
      </c>
      <c r="I170" t="str">
        <f>"40.000,00 EUR"</f>
        <v>40.000,00 EUR</v>
      </c>
    </row>
    <row r="171" spans="1:9" x14ac:dyDescent="0.25">
      <c r="A171" t="str">
        <f t="shared" si="47"/>
        <v>0000000000</v>
      </c>
      <c r="B171" t="str">
        <f t="shared" si="32"/>
        <v>AC Ravenna - 00085710390</v>
      </c>
      <c r="C171" t="str">
        <f t="shared" si="48"/>
        <v>CONVENZIONE ACRA/ACITOUR SERVICE SRL PER SERVIZI VARI</v>
      </c>
      <c r="D171" t="str">
        <f t="shared" si="49"/>
        <v>24-AFFIDAMENTO DIRETTO A SOCIETA' IN HOUSE</v>
      </c>
      <c r="E171" t="str">
        <f t="shared" si="50"/>
        <v>ACITOUR SERVICE SRL in house - 01032170399</v>
      </c>
      <c r="F171" t="str">
        <f t="shared" si="50"/>
        <v>ACITOUR SERVICE SRL in house - 01032170399</v>
      </c>
      <c r="G171" t="str">
        <f>"10.000,00 EUR"</f>
        <v>10.000,00 EUR</v>
      </c>
      <c r="H171" t="str">
        <f t="shared" si="51"/>
        <v>01/01/2019 - 31/12/2019</v>
      </c>
      <c r="I171" t="str">
        <f>"10.000,00 EUR"</f>
        <v>10.000,00 EUR</v>
      </c>
    </row>
    <row r="172" spans="1:9" x14ac:dyDescent="0.25">
      <c r="A172" t="str">
        <f t="shared" si="47"/>
        <v>0000000000</v>
      </c>
      <c r="B172" t="str">
        <f t="shared" si="32"/>
        <v>AC Ravenna - 00085710390</v>
      </c>
      <c r="C172" t="str">
        <f t="shared" si="48"/>
        <v>CONVENZIONE ACRA/ACITOUR SERVICE SRL PER SERVIZI VARI</v>
      </c>
      <c r="D172" t="str">
        <f t="shared" si="49"/>
        <v>24-AFFIDAMENTO DIRETTO A SOCIETA' IN HOUSE</v>
      </c>
      <c r="E172" t="str">
        <f t="shared" si="50"/>
        <v>ACITOUR SERVICE SRL in house - 01032170399</v>
      </c>
      <c r="F172" t="str">
        <f t="shared" si="50"/>
        <v>ACITOUR SERVICE SRL in house - 01032170399</v>
      </c>
      <c r="G172" t="str">
        <f>"25.000,00 EUR"</f>
        <v>25.000,00 EUR</v>
      </c>
      <c r="H172" t="str">
        <f t="shared" si="51"/>
        <v>01/01/2019 - 31/12/2019</v>
      </c>
      <c r="I172" t="str">
        <f>"25.000,00 EUR"</f>
        <v>25.000,00 EUR</v>
      </c>
    </row>
    <row r="173" spans="1:9" x14ac:dyDescent="0.25">
      <c r="A173" t="str">
        <f t="shared" si="47"/>
        <v>0000000000</v>
      </c>
      <c r="B173" t="str">
        <f t="shared" ref="B173:B236" si="52">"AC Ravenna - 00085710390"</f>
        <v>AC Ravenna - 00085710390</v>
      </c>
      <c r="C173" t="str">
        <f t="shared" si="48"/>
        <v>CONVENZIONE ACRA/ACITOUR SERVICE SRL PER SERVIZI VARI</v>
      </c>
      <c r="D173" t="str">
        <f t="shared" si="49"/>
        <v>24-AFFIDAMENTO DIRETTO A SOCIETA' IN HOUSE</v>
      </c>
      <c r="E173" t="str">
        <f t="shared" si="50"/>
        <v>ACITOUR SERVICE SRL in house - 01032170399</v>
      </c>
      <c r="F173" t="str">
        <f t="shared" si="50"/>
        <v>ACITOUR SERVICE SRL in house - 01032170399</v>
      </c>
      <c r="G173" t="str">
        <f>"25.000,00 EUR"</f>
        <v>25.000,00 EUR</v>
      </c>
      <c r="H173" t="str">
        <f t="shared" si="51"/>
        <v>01/01/2019 - 31/12/2019</v>
      </c>
      <c r="I173" t="str">
        <f>"25.000,00 EUR"</f>
        <v>25.000,00 EUR</v>
      </c>
    </row>
    <row r="174" spans="1:9" x14ac:dyDescent="0.25">
      <c r="A174" t="str">
        <f t="shared" si="47"/>
        <v>0000000000</v>
      </c>
      <c r="B174" t="str">
        <f t="shared" si="52"/>
        <v>AC Ravenna - 00085710390</v>
      </c>
      <c r="C174" t="str">
        <f t="shared" si="48"/>
        <v>CONVENZIONE ACRA/ACITOUR SERVICE SRL PER SERVIZI VARI</v>
      </c>
      <c r="D174" t="str">
        <f t="shared" si="49"/>
        <v>24-AFFIDAMENTO DIRETTO A SOCIETA' IN HOUSE</v>
      </c>
      <c r="E174" t="str">
        <f t="shared" si="50"/>
        <v>ACITOUR SERVICE SRL in house - 01032170399</v>
      </c>
      <c r="F174" t="str">
        <f t="shared" si="50"/>
        <v>ACITOUR SERVICE SRL in house - 01032170399</v>
      </c>
      <c r="G174" t="str">
        <f>"50.000,00 EUR"</f>
        <v>50.000,00 EUR</v>
      </c>
      <c r="H174" t="str">
        <f t="shared" si="51"/>
        <v>01/01/2019 - 31/12/2019</v>
      </c>
      <c r="I174" t="str">
        <f>"50.000,00 EUR"</f>
        <v>50.000,00 EUR</v>
      </c>
    </row>
    <row r="175" spans="1:9" x14ac:dyDescent="0.25">
      <c r="A175" t="str">
        <f>"Z901D46AD8"</f>
        <v>Z901D46AD8</v>
      </c>
      <c r="B175" t="str">
        <f t="shared" si="52"/>
        <v>AC Ravenna - 00085710390</v>
      </c>
      <c r="C175" t="str">
        <f>"CANONE ASSISTENZA SOFTWARE"</f>
        <v>CANONE ASSISTENZA SOFTWARE</v>
      </c>
      <c r="D175" t="str">
        <f t="shared" ref="D175:D186" si="53">"23-AFFIDAMENTO DIRETTO"</f>
        <v>23-AFFIDAMENTO DIRETTO</v>
      </c>
      <c r="E175" t="str">
        <f>"HARVARD GROUP S.r.l. - 02254110402"</f>
        <v>HARVARD GROUP S.r.l. - 02254110402</v>
      </c>
      <c r="F175" t="str">
        <f>"HARVARD GROUP S.r.l. - 02254110402"</f>
        <v>HARVARD GROUP S.r.l. - 02254110402</v>
      </c>
      <c r="G175" t="str">
        <f>"6.764,00 EUR"</f>
        <v>6.764,00 EUR</v>
      </c>
      <c r="H175" t="str">
        <f>"08/02/2017 - 31/12/2017"</f>
        <v>08/02/2017 - 31/12/2017</v>
      </c>
      <c r="I175" t="str">
        <f>"6.764,00 EUR"</f>
        <v>6.764,00 EUR</v>
      </c>
    </row>
    <row r="176" spans="1:9" x14ac:dyDescent="0.25">
      <c r="A176" t="str">
        <f>"Z7421241CA"</f>
        <v>Z7421241CA</v>
      </c>
      <c r="B176" t="str">
        <f t="shared" si="52"/>
        <v>AC Ravenna - 00085710390</v>
      </c>
      <c r="C176" t="str">
        <f>"BUFFET RIUNIONE DELEGATI"</f>
        <v>BUFFET RIUNIONE DELEGATI</v>
      </c>
      <c r="D176" t="str">
        <f t="shared" si="53"/>
        <v>23-AFFIDAMENTO DIRETTO</v>
      </c>
      <c r="E176" t="str">
        <f>"DELITIA SRL - 02554030391"</f>
        <v>DELITIA SRL - 02554030391</v>
      </c>
      <c r="F176" t="str">
        <f>"DELITIA SRL - 02554030391"</f>
        <v>DELITIA SRL - 02554030391</v>
      </c>
      <c r="G176" t="str">
        <f>"276,00 EUR"</f>
        <v>276,00 EUR</v>
      </c>
      <c r="H176" t="str">
        <f>"05/12/2017 - 07/12/2017"</f>
        <v>05/12/2017 - 07/12/2017</v>
      </c>
      <c r="I176" t="str">
        <f>"276,00 EUR"</f>
        <v>276,00 EUR</v>
      </c>
    </row>
    <row r="177" spans="1:9" x14ac:dyDescent="0.25">
      <c r="A177" t="str">
        <f>"Z62210DBF8"</f>
        <v>Z62210DBF8</v>
      </c>
      <c r="B177" t="str">
        <f t="shared" si="52"/>
        <v>AC Ravenna - 00085710390</v>
      </c>
      <c r="C177" t="str">
        <f>"SERVIZIO SICUREZZA 2017"</f>
        <v>SERVIZIO SICUREZZA 2017</v>
      </c>
      <c r="D177" t="str">
        <f t="shared" si="53"/>
        <v>23-AFFIDAMENTO DIRETTO</v>
      </c>
      <c r="E177" t="str">
        <f>"ECHOS ENGINEERING SRL - 02003550395"</f>
        <v>ECHOS ENGINEERING SRL - 02003550395</v>
      </c>
      <c r="F177" t="str">
        <f>"ECHOS ENGINEERING SRL - 02003550395"</f>
        <v>ECHOS ENGINEERING SRL - 02003550395</v>
      </c>
      <c r="G177" t="str">
        <f>"480,00 EUR"</f>
        <v>480,00 EUR</v>
      </c>
      <c r="H177" t="str">
        <f>"30/11/2017 - 31/12/2017"</f>
        <v>30/11/2017 - 31/12/2017</v>
      </c>
      <c r="I177" t="str">
        <f>"480,00 EUR"</f>
        <v>480,00 EUR</v>
      </c>
    </row>
    <row r="178" spans="1:9" x14ac:dyDescent="0.25">
      <c r="A178" t="str">
        <f>"Z0120E562B"</f>
        <v>Z0120E562B</v>
      </c>
      <c r="B178" t="str">
        <f t="shared" si="52"/>
        <v>AC Ravenna - 00085710390</v>
      </c>
      <c r="C178" t="str">
        <f>"RECAPITO PATENTI"</f>
        <v>RECAPITO PATENTI</v>
      </c>
      <c r="D178" t="str">
        <f t="shared" si="53"/>
        <v>23-AFFIDAMENTO DIRETTO</v>
      </c>
      <c r="E178" t="str">
        <f t="shared" ref="E178:F180" si="54">"FUTURFIL SRL - 02471780391"</f>
        <v>FUTURFIL SRL - 02471780391</v>
      </c>
      <c r="F178" t="str">
        <f t="shared" si="54"/>
        <v>FUTURFIL SRL - 02471780391</v>
      </c>
      <c r="G178" t="str">
        <f>"165,00 EUR"</f>
        <v>165,00 EUR</v>
      </c>
      <c r="H178" t="str">
        <f t="shared" ref="H178:H183" si="55">"22/11/2017 - 30/11/2017"</f>
        <v>22/11/2017 - 30/11/2017</v>
      </c>
      <c r="I178" t="str">
        <f>"165,00 EUR"</f>
        <v>165,00 EUR</v>
      </c>
    </row>
    <row r="179" spans="1:9" x14ac:dyDescent="0.25">
      <c r="A179" t="str">
        <f>"Z2120E55F8"</f>
        <v>Z2120E55F8</v>
      </c>
      <c r="B179" t="str">
        <f t="shared" si="52"/>
        <v>AC Ravenna - 00085710390</v>
      </c>
      <c r="C179" t="str">
        <f>"RECAPITO SOCI"</f>
        <v>RECAPITO SOCI</v>
      </c>
      <c r="D179" t="str">
        <f t="shared" si="53"/>
        <v>23-AFFIDAMENTO DIRETTO</v>
      </c>
      <c r="E179" t="str">
        <f t="shared" si="54"/>
        <v>FUTURFIL SRL - 02471780391</v>
      </c>
      <c r="F179" t="str">
        <f t="shared" si="54"/>
        <v>FUTURFIL SRL - 02471780391</v>
      </c>
      <c r="G179" t="str">
        <f>"139,00 EUR"</f>
        <v>139,00 EUR</v>
      </c>
      <c r="H179" t="str">
        <f t="shared" si="55"/>
        <v>22/11/2017 - 30/11/2017</v>
      </c>
      <c r="I179" t="str">
        <f>"139,00 EUR"</f>
        <v>139,00 EUR</v>
      </c>
    </row>
    <row r="180" spans="1:9" x14ac:dyDescent="0.25">
      <c r="A180" t="str">
        <f>"Z3220E55A6"</f>
        <v>Z3220E55A6</v>
      </c>
      <c r="B180" t="str">
        <f t="shared" si="52"/>
        <v>AC Ravenna - 00085710390</v>
      </c>
      <c r="C180" t="str">
        <f>"RECAPITO BOLSE"</f>
        <v>RECAPITO BOLSE</v>
      </c>
      <c r="D180" t="str">
        <f t="shared" si="53"/>
        <v>23-AFFIDAMENTO DIRETTO</v>
      </c>
      <c r="E180" t="str">
        <f t="shared" si="54"/>
        <v>FUTURFIL SRL - 02471780391</v>
      </c>
      <c r="F180" t="str">
        <f t="shared" si="54"/>
        <v>FUTURFIL SRL - 02471780391</v>
      </c>
      <c r="G180" t="str">
        <f>"253,00 EUR"</f>
        <v>253,00 EUR</v>
      </c>
      <c r="H180" t="str">
        <f t="shared" si="55"/>
        <v>22/11/2017 - 30/11/2017</v>
      </c>
      <c r="I180" t="str">
        <f>"253,00 EUR"</f>
        <v>253,00 EUR</v>
      </c>
    </row>
    <row r="181" spans="1:9" x14ac:dyDescent="0.25">
      <c r="A181" t="str">
        <f>"Z7920E552D"</f>
        <v>Z7920E552D</v>
      </c>
      <c r="B181" t="str">
        <f t="shared" si="52"/>
        <v>AC Ravenna - 00085710390</v>
      </c>
      <c r="C181" t="str">
        <f>"SERVIZIO ELAB.PATENTI"</f>
        <v>SERVIZIO ELAB.PATENTI</v>
      </c>
      <c r="D181" t="str">
        <f t="shared" si="53"/>
        <v>23-AFFIDAMENTO DIRETTO</v>
      </c>
      <c r="E181" t="str">
        <f t="shared" ref="E181:F183" si="56">"GAMMA INDIRIZZI SRL - 01048250391"</f>
        <v>GAMMA INDIRIZZI SRL - 01048250391</v>
      </c>
      <c r="F181" t="str">
        <f t="shared" si="56"/>
        <v>GAMMA INDIRIZZI SRL - 01048250391</v>
      </c>
      <c r="G181" t="str">
        <f>"47,00 EUR"</f>
        <v>47,00 EUR</v>
      </c>
      <c r="H181" t="str">
        <f t="shared" si="55"/>
        <v>22/11/2017 - 30/11/2017</v>
      </c>
      <c r="I181" t="str">
        <f>"47,00 EUR"</f>
        <v>47,00 EUR</v>
      </c>
    </row>
    <row r="182" spans="1:9" x14ac:dyDescent="0.25">
      <c r="A182" t="str">
        <f>"ZBD20E54E0"</f>
        <v>ZBD20E54E0</v>
      </c>
      <c r="B182" t="str">
        <f t="shared" si="52"/>
        <v>AC Ravenna - 00085710390</v>
      </c>
      <c r="C182" t="str">
        <f>"SERVIZIO ELAB.SOCI"</f>
        <v>SERVIZIO ELAB.SOCI</v>
      </c>
      <c r="D182" t="str">
        <f t="shared" si="53"/>
        <v>23-AFFIDAMENTO DIRETTO</v>
      </c>
      <c r="E182" t="str">
        <f t="shared" si="56"/>
        <v>GAMMA INDIRIZZI SRL - 01048250391</v>
      </c>
      <c r="F182" t="str">
        <f t="shared" si="56"/>
        <v>GAMMA INDIRIZZI SRL - 01048250391</v>
      </c>
      <c r="G182" t="str">
        <f>"102,00 EUR"</f>
        <v>102,00 EUR</v>
      </c>
      <c r="H182" t="str">
        <f t="shared" si="55"/>
        <v>22/11/2017 - 30/11/2017</v>
      </c>
      <c r="I182" t="str">
        <f>"102,00 EUR"</f>
        <v>102,00 EUR</v>
      </c>
    </row>
    <row r="183" spans="1:9" x14ac:dyDescent="0.25">
      <c r="A183" t="str">
        <f>"Z0820E5422"</f>
        <v>Z0820E5422</v>
      </c>
      <c r="B183" t="str">
        <f t="shared" si="52"/>
        <v>AC Ravenna - 00085710390</v>
      </c>
      <c r="C183" t="str">
        <f>"SERVIZIO ELAB.BOLSE"</f>
        <v>SERVIZIO ELAB.BOLSE</v>
      </c>
      <c r="D183" t="str">
        <f t="shared" si="53"/>
        <v>23-AFFIDAMENTO DIRETTO</v>
      </c>
      <c r="E183" t="str">
        <f t="shared" si="56"/>
        <v>GAMMA INDIRIZZI SRL - 01048250391</v>
      </c>
      <c r="F183" t="str">
        <f t="shared" si="56"/>
        <v>GAMMA INDIRIZZI SRL - 01048250391</v>
      </c>
      <c r="G183" t="str">
        <f>"191,00 EUR"</f>
        <v>191,00 EUR</v>
      </c>
      <c r="H183" t="str">
        <f t="shared" si="55"/>
        <v>22/11/2017 - 30/11/2017</v>
      </c>
      <c r="I183" t="str">
        <f>"191,00 EUR"</f>
        <v>191,00 EUR</v>
      </c>
    </row>
    <row r="184" spans="1:9" x14ac:dyDescent="0.25">
      <c r="A184" t="str">
        <f>"Z5820D6DB7"</f>
        <v>Z5820D6DB7</v>
      </c>
      <c r="B184" t="str">
        <f t="shared" si="52"/>
        <v>AC Ravenna - 00085710390</v>
      </c>
      <c r="C184" t="str">
        <f>"ASSISTENZA HOSTING"</f>
        <v>ASSISTENZA HOSTING</v>
      </c>
      <c r="D184" t="str">
        <f t="shared" si="53"/>
        <v>23-AFFIDAMENTO DIRETTO</v>
      </c>
      <c r="E184" t="str">
        <f>"FARNEDI ICT SRL - 03840520401"</f>
        <v>FARNEDI ICT SRL - 03840520401</v>
      </c>
      <c r="F184" t="str">
        <f>"FARNEDI ICT SRL - 03840520401"</f>
        <v>FARNEDI ICT SRL - 03840520401</v>
      </c>
      <c r="G184" t="str">
        <f>"1.030,00 EUR"</f>
        <v>1.030,00 EUR</v>
      </c>
      <c r="H184" t="str">
        <f>"21/11/2017 - 31/12/2017"</f>
        <v>21/11/2017 - 31/12/2017</v>
      </c>
      <c r="I184" t="str">
        <f>"1.030,00 EUR"</f>
        <v>1.030,00 EUR</v>
      </c>
    </row>
    <row r="185" spans="1:9" x14ac:dyDescent="0.25">
      <c r="A185" t="str">
        <f>"Z78209DABD"</f>
        <v>Z78209DABD</v>
      </c>
      <c r="B185" t="str">
        <f t="shared" si="52"/>
        <v>AC Ravenna - 00085710390</v>
      </c>
      <c r="C185" t="str">
        <f>"RECAPITO BOLSE"</f>
        <v>RECAPITO BOLSE</v>
      </c>
      <c r="D185" t="str">
        <f t="shared" si="53"/>
        <v>23-AFFIDAMENTO DIRETTO</v>
      </c>
      <c r="E185" t="str">
        <f t="shared" ref="E185:F187" si="57">"FUTURFIL SRL - 02471780391"</f>
        <v>FUTURFIL SRL - 02471780391</v>
      </c>
      <c r="F185" t="str">
        <f t="shared" si="57"/>
        <v>FUTURFIL SRL - 02471780391</v>
      </c>
      <c r="G185" t="str">
        <f>"845,00 EUR"</f>
        <v>845,00 EUR</v>
      </c>
      <c r="H185" t="str">
        <f>"06/11/2017 - 30/11/2017"</f>
        <v>06/11/2017 - 30/11/2017</v>
      </c>
      <c r="I185" t="str">
        <f>"845,00 EUR"</f>
        <v>845,00 EUR</v>
      </c>
    </row>
    <row r="186" spans="1:9" x14ac:dyDescent="0.25">
      <c r="A186" t="str">
        <f>"Z8E209DBC4"</f>
        <v>Z8E209DBC4</v>
      </c>
      <c r="B186" t="str">
        <f t="shared" si="52"/>
        <v>AC Ravenna - 00085710390</v>
      </c>
      <c r="C186" t="str">
        <f>"SECAPITO SOCI"</f>
        <v>SECAPITO SOCI</v>
      </c>
      <c r="D186" t="str">
        <f t="shared" si="53"/>
        <v>23-AFFIDAMENTO DIRETTO</v>
      </c>
      <c r="E186" t="str">
        <f t="shared" si="57"/>
        <v>FUTURFIL SRL - 02471780391</v>
      </c>
      <c r="F186" t="str">
        <f t="shared" si="57"/>
        <v>FUTURFIL SRL - 02471780391</v>
      </c>
      <c r="G186" t="str">
        <f>"119,00 EUR"</f>
        <v>119,00 EUR</v>
      </c>
      <c r="H186" t="str">
        <f>"06/11/2017 - 30/11/2017"</f>
        <v>06/11/2017 - 30/11/2017</v>
      </c>
      <c r="I186" t="str">
        <f>"119,00 EUR"</f>
        <v>119,00 EUR</v>
      </c>
    </row>
    <row r="187" spans="1:9" x14ac:dyDescent="0.25">
      <c r="A187" t="str">
        <f>"ZF5209DC13"</f>
        <v>ZF5209DC13</v>
      </c>
      <c r="B187" t="str">
        <f t="shared" si="52"/>
        <v>AC Ravenna - 00085710390</v>
      </c>
      <c r="C187" t="str">
        <f>"RECAPITO PATENTI"</f>
        <v>RECAPITO PATENTI</v>
      </c>
      <c r="D187" t="str">
        <f>"28-PROCEDURA AI SENSI DEI REGOLAMENTI DEGLI ORGANI COSTITUZIONALI"</f>
        <v>28-PROCEDURA AI SENSI DEI REGOLAMENTI DEGLI ORGANI COSTITUZIONALI</v>
      </c>
      <c r="E187" t="str">
        <f t="shared" si="57"/>
        <v>FUTURFIL SRL - 02471780391</v>
      </c>
      <c r="F187" t="str">
        <f t="shared" si="57"/>
        <v>FUTURFIL SRL - 02471780391</v>
      </c>
      <c r="G187" t="str">
        <f>"199,00 EUR"</f>
        <v>199,00 EUR</v>
      </c>
      <c r="H187" t="str">
        <f>"06/11/2017 - 30/11/2017"</f>
        <v>06/11/2017 - 30/11/2017</v>
      </c>
      <c r="I187" t="str">
        <f>"199,00 EUR"</f>
        <v>199,00 EUR</v>
      </c>
    </row>
    <row r="188" spans="1:9" x14ac:dyDescent="0.25">
      <c r="A188" t="str">
        <f>"ZB4209152B"</f>
        <v>ZB4209152B</v>
      </c>
      <c r="B188" t="str">
        <f t="shared" si="52"/>
        <v>AC Ravenna - 00085710390</v>
      </c>
      <c r="C188" t="str">
        <f>"SERVIZIO ELAB.BOLSE"</f>
        <v>SERVIZIO ELAB.BOLSE</v>
      </c>
      <c r="D188" t="str">
        <f t="shared" ref="D188:D219" si="58">"23-AFFIDAMENTO DIRETTO"</f>
        <v>23-AFFIDAMENTO DIRETTO</v>
      </c>
      <c r="E188" t="str">
        <f t="shared" ref="E188:F190" si="59">"GAMMA INDIRIZZI SRL - 01048250391"</f>
        <v>GAMMA INDIRIZZI SRL - 01048250391</v>
      </c>
      <c r="F188" t="str">
        <f t="shared" si="59"/>
        <v>GAMMA INDIRIZZI SRL - 01048250391</v>
      </c>
      <c r="G188" t="str">
        <f>"569,00 EUR"</f>
        <v>569,00 EUR</v>
      </c>
      <c r="H188" t="str">
        <f>"02/11/2017 - 30/11/2017"</f>
        <v>02/11/2017 - 30/11/2017</v>
      </c>
      <c r="I188" t="str">
        <f>"569,00 EUR"</f>
        <v>569,00 EUR</v>
      </c>
    </row>
    <row r="189" spans="1:9" x14ac:dyDescent="0.25">
      <c r="A189" t="str">
        <f>"ZB2209159C"</f>
        <v>ZB2209159C</v>
      </c>
      <c r="B189" t="str">
        <f t="shared" si="52"/>
        <v>AC Ravenna - 00085710390</v>
      </c>
      <c r="C189" t="str">
        <f>"SERVIZIO ELAB.SOCI"</f>
        <v>SERVIZIO ELAB.SOCI</v>
      </c>
      <c r="D189" t="str">
        <f t="shared" si="58"/>
        <v>23-AFFIDAMENTO DIRETTO</v>
      </c>
      <c r="E189" t="str">
        <f t="shared" si="59"/>
        <v>GAMMA INDIRIZZI SRL - 01048250391</v>
      </c>
      <c r="F189" t="str">
        <f t="shared" si="59"/>
        <v>GAMMA INDIRIZZI SRL - 01048250391</v>
      </c>
      <c r="G189" t="str">
        <f>"91,00 EUR"</f>
        <v>91,00 EUR</v>
      </c>
      <c r="H189" t="str">
        <f>"02/11/2017 - 30/11/2017"</f>
        <v>02/11/2017 - 30/11/2017</v>
      </c>
      <c r="I189" t="str">
        <f>"91,00 EUR"</f>
        <v>91,00 EUR</v>
      </c>
    </row>
    <row r="190" spans="1:9" x14ac:dyDescent="0.25">
      <c r="A190" t="str">
        <f>"Z6E20915E9"</f>
        <v>Z6E20915E9</v>
      </c>
      <c r="B190" t="str">
        <f t="shared" si="52"/>
        <v>AC Ravenna - 00085710390</v>
      </c>
      <c r="C190" t="str">
        <f>"SERVIZIO ELAB.PATENTI"</f>
        <v>SERVIZIO ELAB.PATENTI</v>
      </c>
      <c r="D190" t="str">
        <f t="shared" si="58"/>
        <v>23-AFFIDAMENTO DIRETTO</v>
      </c>
      <c r="E190" t="str">
        <f t="shared" si="59"/>
        <v>GAMMA INDIRIZZI SRL - 01048250391</v>
      </c>
      <c r="F190" t="str">
        <f t="shared" si="59"/>
        <v>GAMMA INDIRIZZI SRL - 01048250391</v>
      </c>
      <c r="G190" t="str">
        <f>"54,00 EUR"</f>
        <v>54,00 EUR</v>
      </c>
      <c r="H190" t="str">
        <f>"02/11/2017 - 30/11/2017"</f>
        <v>02/11/2017 - 30/11/2017</v>
      </c>
      <c r="I190" t="str">
        <f>"54,00 EUR"</f>
        <v>54,00 EUR</v>
      </c>
    </row>
    <row r="191" spans="1:9" x14ac:dyDescent="0.25">
      <c r="A191" t="str">
        <f>"Z2E2069610"</f>
        <v>Z2E2069610</v>
      </c>
      <c r="B191" t="str">
        <f t="shared" si="52"/>
        <v>AC Ravenna - 00085710390</v>
      </c>
      <c r="C191" t="str">
        <f>"MANUTENZIONE IMP.RISCAL/RAFFR."</f>
        <v>MANUTENZIONE IMP.RISCAL/RAFFR.</v>
      </c>
      <c r="D191" t="str">
        <f t="shared" si="58"/>
        <v>23-AFFIDAMENTO DIRETTO</v>
      </c>
      <c r="E191" t="str">
        <f>"NILO TERMOIDRAULICA SRL - 02500700394"</f>
        <v>NILO TERMOIDRAULICA SRL - 02500700394</v>
      </c>
      <c r="F191" t="str">
        <f>"NILO TERMOIDRAULICA SRL - 02500700394"</f>
        <v>NILO TERMOIDRAULICA SRL - 02500700394</v>
      </c>
      <c r="G191" t="str">
        <f>"200,00 EUR"</f>
        <v>200,00 EUR</v>
      </c>
      <c r="H191" t="str">
        <f>"21/10/2017 - 31/10/2017"</f>
        <v>21/10/2017 - 31/10/2017</v>
      </c>
      <c r="I191" t="str">
        <f>"200,00 EUR"</f>
        <v>200,00 EUR</v>
      </c>
    </row>
    <row r="192" spans="1:9" x14ac:dyDescent="0.25">
      <c r="A192" t="str">
        <f>"Z65203B9C5"</f>
        <v>Z65203B9C5</v>
      </c>
      <c r="B192" t="str">
        <f t="shared" si="52"/>
        <v>AC Ravenna - 00085710390</v>
      </c>
      <c r="C192" t="str">
        <f>"MANUTENZIONE IMPIANTI ELETTRICI"</f>
        <v>MANUTENZIONE IMPIANTI ELETTRICI</v>
      </c>
      <c r="D192" t="str">
        <f t="shared" si="58"/>
        <v>23-AFFIDAMENTO DIRETTO</v>
      </c>
      <c r="E192" t="str">
        <f>"MORGAGNI BENIAMINO - MRGBMN61C31H199N"</f>
        <v>MORGAGNI BENIAMINO - MRGBMN61C31H199N</v>
      </c>
      <c r="F192" t="str">
        <f>"MORGAGNI BENIAMINO - MRGBMN61C31H199N"</f>
        <v>MORGAGNI BENIAMINO - MRGBMN61C31H199N</v>
      </c>
      <c r="G192" t="str">
        <f>"476,00 EUR"</f>
        <v>476,00 EUR</v>
      </c>
      <c r="H192" t="str">
        <f t="shared" ref="H192:H199" si="60">"10/10/2017 - 31/10/2017"</f>
        <v>10/10/2017 - 31/10/2017</v>
      </c>
      <c r="I192" t="str">
        <f>"476,00 EUR"</f>
        <v>476,00 EUR</v>
      </c>
    </row>
    <row r="193" spans="1:9" x14ac:dyDescent="0.25">
      <c r="A193" t="str">
        <f>"Z12203BAEE"</f>
        <v>Z12203BAEE</v>
      </c>
      <c r="B193" t="str">
        <f t="shared" si="52"/>
        <v>AC Ravenna - 00085710390</v>
      </c>
      <c r="C193" t="str">
        <f>"MODULISTICA UFF.A.A."</f>
        <v>MODULISTICA UFF.A.A.</v>
      </c>
      <c r="D193" t="str">
        <f t="shared" si="58"/>
        <v>23-AFFIDAMENTO DIRETTO</v>
      </c>
      <c r="E193" t="str">
        <f>"SAMORANI S.R.L. - 02705640403"</f>
        <v>SAMORANI S.R.L. - 02705640403</v>
      </c>
      <c r="F193" t="str">
        <f>"SAMORANI S.R.L. - 02705640403"</f>
        <v>SAMORANI S.R.L. - 02705640403</v>
      </c>
      <c r="G193" t="str">
        <f>"582,00 EUR"</f>
        <v>582,00 EUR</v>
      </c>
      <c r="H193" t="str">
        <f t="shared" si="60"/>
        <v>10/10/2017 - 31/10/2017</v>
      </c>
      <c r="I193" t="str">
        <f>"582,00 EUR"</f>
        <v>582,00 EUR</v>
      </c>
    </row>
    <row r="194" spans="1:9" x14ac:dyDescent="0.25">
      <c r="A194" t="str">
        <f>"ZE0203BC87"</f>
        <v>ZE0203BC87</v>
      </c>
      <c r="B194" t="str">
        <f t="shared" si="52"/>
        <v>AC Ravenna - 00085710390</v>
      </c>
      <c r="C194" t="str">
        <f>"RECAPITO PATENTI"</f>
        <v>RECAPITO PATENTI</v>
      </c>
      <c r="D194" t="str">
        <f t="shared" si="58"/>
        <v>23-AFFIDAMENTO DIRETTO</v>
      </c>
      <c r="E194" t="str">
        <f t="shared" ref="E194:F196" si="61">"FUTURFIL SRL - 02471780391"</f>
        <v>FUTURFIL SRL - 02471780391</v>
      </c>
      <c r="F194" t="str">
        <f t="shared" si="61"/>
        <v>FUTURFIL SRL - 02471780391</v>
      </c>
      <c r="G194" t="str">
        <f>"244,00 EUR"</f>
        <v>244,00 EUR</v>
      </c>
      <c r="H194" t="str">
        <f t="shared" si="60"/>
        <v>10/10/2017 - 31/10/2017</v>
      </c>
      <c r="I194" t="str">
        <f>"244,00 EUR"</f>
        <v>244,00 EUR</v>
      </c>
    </row>
    <row r="195" spans="1:9" x14ac:dyDescent="0.25">
      <c r="A195" t="str">
        <f>"ZD3203BBF7"</f>
        <v>ZD3203BBF7</v>
      </c>
      <c r="B195" t="str">
        <f t="shared" si="52"/>
        <v>AC Ravenna - 00085710390</v>
      </c>
      <c r="C195" t="str">
        <f>"RECAPITO SOCI"</f>
        <v>RECAPITO SOCI</v>
      </c>
      <c r="D195" t="str">
        <f t="shared" si="58"/>
        <v>23-AFFIDAMENTO DIRETTO</v>
      </c>
      <c r="E195" t="str">
        <f t="shared" si="61"/>
        <v>FUTURFIL SRL - 02471780391</v>
      </c>
      <c r="F195" t="str">
        <f t="shared" si="61"/>
        <v>FUTURFIL SRL - 02471780391</v>
      </c>
      <c r="G195" t="str">
        <f>"157,00 EUR"</f>
        <v>157,00 EUR</v>
      </c>
      <c r="H195" t="str">
        <f t="shared" si="60"/>
        <v>10/10/2017 - 31/10/2017</v>
      </c>
      <c r="I195" t="str">
        <f>"157,00 EUR"</f>
        <v>157,00 EUR</v>
      </c>
    </row>
    <row r="196" spans="1:9" x14ac:dyDescent="0.25">
      <c r="A196" t="str">
        <f>"Z44203BD9F"</f>
        <v>Z44203BD9F</v>
      </c>
      <c r="B196" t="str">
        <f t="shared" si="52"/>
        <v>AC Ravenna - 00085710390</v>
      </c>
      <c r="C196" t="str">
        <f>"RECAPITO BOLSE"</f>
        <v>RECAPITO BOLSE</v>
      </c>
      <c r="D196" t="str">
        <f t="shared" si="58"/>
        <v>23-AFFIDAMENTO DIRETTO</v>
      </c>
      <c r="E196" t="str">
        <f t="shared" si="61"/>
        <v>FUTURFIL SRL - 02471780391</v>
      </c>
      <c r="F196" t="str">
        <f t="shared" si="61"/>
        <v>FUTURFIL SRL - 02471780391</v>
      </c>
      <c r="G196" t="str">
        <f>"339,00 EUR"</f>
        <v>339,00 EUR</v>
      </c>
      <c r="H196" t="str">
        <f t="shared" si="60"/>
        <v>10/10/2017 - 31/10/2017</v>
      </c>
      <c r="I196" t="str">
        <f>"339,00 EUR"</f>
        <v>339,00 EUR</v>
      </c>
    </row>
    <row r="197" spans="1:9" x14ac:dyDescent="0.25">
      <c r="A197" t="str">
        <f>"Z92203BF09"</f>
        <v>Z92203BF09</v>
      </c>
      <c r="B197" t="str">
        <f t="shared" si="52"/>
        <v>AC Ravenna - 00085710390</v>
      </c>
      <c r="C197" t="str">
        <f>"SERVIZIO ELAB.PATENTI"</f>
        <v>SERVIZIO ELAB.PATENTI</v>
      </c>
      <c r="D197" t="str">
        <f t="shared" si="58"/>
        <v>23-AFFIDAMENTO DIRETTO</v>
      </c>
      <c r="E197" t="str">
        <f t="shared" ref="E197:F199" si="62">"GAMMA INDIRIZZI SRL - 01048250391"</f>
        <v>GAMMA INDIRIZZI SRL - 01048250391</v>
      </c>
      <c r="F197" t="str">
        <f t="shared" si="62"/>
        <v>GAMMA INDIRIZZI SRL - 01048250391</v>
      </c>
      <c r="G197" t="str">
        <f>"64,00 EUR"</f>
        <v>64,00 EUR</v>
      </c>
      <c r="H197" t="str">
        <f t="shared" si="60"/>
        <v>10/10/2017 - 31/10/2017</v>
      </c>
      <c r="I197" t="str">
        <f>"64,00 EUR"</f>
        <v>64,00 EUR</v>
      </c>
    </row>
    <row r="198" spans="1:9" x14ac:dyDescent="0.25">
      <c r="A198" t="str">
        <f>"Z7A203BE73"</f>
        <v>Z7A203BE73</v>
      </c>
      <c r="B198" t="str">
        <f t="shared" si="52"/>
        <v>AC Ravenna - 00085710390</v>
      </c>
      <c r="C198" t="str">
        <f>"SERVIZIO ELAB.BOLSE"</f>
        <v>SERVIZIO ELAB.BOLSE</v>
      </c>
      <c r="D198" t="str">
        <f t="shared" si="58"/>
        <v>23-AFFIDAMENTO DIRETTO</v>
      </c>
      <c r="E198" t="str">
        <f t="shared" si="62"/>
        <v>GAMMA INDIRIZZI SRL - 01048250391</v>
      </c>
      <c r="F198" t="str">
        <f t="shared" si="62"/>
        <v>GAMMA INDIRIZZI SRL - 01048250391</v>
      </c>
      <c r="G198" t="str">
        <f>"246,00 EUR"</f>
        <v>246,00 EUR</v>
      </c>
      <c r="H198" t="str">
        <f t="shared" si="60"/>
        <v>10/10/2017 - 31/10/2017</v>
      </c>
      <c r="I198" t="str">
        <f>"246,00 EUR"</f>
        <v>246,00 EUR</v>
      </c>
    </row>
    <row r="199" spans="1:9" x14ac:dyDescent="0.25">
      <c r="A199" t="str">
        <f>"Z5E203BEBF"</f>
        <v>Z5E203BEBF</v>
      </c>
      <c r="B199" t="str">
        <f t="shared" si="52"/>
        <v>AC Ravenna - 00085710390</v>
      </c>
      <c r="C199" t="str">
        <f>"SERVIZIO ELAB.SOCI"</f>
        <v>SERVIZIO ELAB.SOCI</v>
      </c>
      <c r="D199" t="str">
        <f t="shared" si="58"/>
        <v>23-AFFIDAMENTO DIRETTO</v>
      </c>
      <c r="E199" t="str">
        <f t="shared" si="62"/>
        <v>GAMMA INDIRIZZI SRL - 01048250391</v>
      </c>
      <c r="F199" t="str">
        <f t="shared" si="62"/>
        <v>GAMMA INDIRIZZI SRL - 01048250391</v>
      </c>
      <c r="G199" t="str">
        <f>"109,00 EUR"</f>
        <v>109,00 EUR</v>
      </c>
      <c r="H199" t="str">
        <f t="shared" si="60"/>
        <v>10/10/2017 - 31/10/2017</v>
      </c>
      <c r="I199" t="str">
        <f>"109,00 EUR"</f>
        <v>109,00 EUR</v>
      </c>
    </row>
    <row r="200" spans="1:9" x14ac:dyDescent="0.25">
      <c r="A200" t="str">
        <f>"Z2B202EEDE"</f>
        <v>Z2B202EEDE</v>
      </c>
      <c r="B200" t="str">
        <f t="shared" si="52"/>
        <v>AC Ravenna - 00085710390</v>
      </c>
      <c r="C200" t="str">
        <f>"PULIZIE SEDE"</f>
        <v>PULIZIE SEDE</v>
      </c>
      <c r="D200" t="str">
        <f t="shared" si="58"/>
        <v>23-AFFIDAMENTO DIRETTO</v>
      </c>
      <c r="E200" t="str">
        <f>"CENTRO IGIENE S.r.l. - 02368400392"</f>
        <v>CENTRO IGIENE S.r.l. - 02368400392</v>
      </c>
      <c r="F200" t="str">
        <f>"CENTRO IGIENE S.r.l. - 02368400392"</f>
        <v>CENTRO IGIENE S.r.l. - 02368400392</v>
      </c>
      <c r="G200" t="str">
        <f>"2.750,00 EUR"</f>
        <v>2.750,00 EUR</v>
      </c>
      <c r="H200" t="str">
        <f>"05/10/2017 - 05/10/2017"</f>
        <v>05/10/2017 - 05/10/2017</v>
      </c>
      <c r="I200" t="str">
        <f>"2.750,00 EUR"</f>
        <v>2.750,00 EUR</v>
      </c>
    </row>
    <row r="201" spans="1:9" x14ac:dyDescent="0.25">
      <c r="A201" t="str">
        <f>"ZAD20054DF"</f>
        <v>ZAD20054DF</v>
      </c>
      <c r="B201" t="str">
        <f t="shared" si="52"/>
        <v>AC Ravenna - 00085710390</v>
      </c>
      <c r="C201" t="str">
        <f>"MODULISTICA UFF.A.A."</f>
        <v>MODULISTICA UFF.A.A.</v>
      </c>
      <c r="D201" t="str">
        <f t="shared" si="58"/>
        <v>23-AFFIDAMENTO DIRETTO</v>
      </c>
      <c r="E201" t="str">
        <f>"SAMORANI S.R.L. - 02705640403"</f>
        <v>SAMORANI S.R.L. - 02705640403</v>
      </c>
      <c r="F201" t="str">
        <f>"SAMORANI S.R.L. - 02705640403"</f>
        <v>SAMORANI S.R.L. - 02705640403</v>
      </c>
      <c r="G201" t="str">
        <f>"320,00 EUR"</f>
        <v>320,00 EUR</v>
      </c>
      <c r="H201" t="str">
        <f>"25/09/2017 - 30/09/2017"</f>
        <v>25/09/2017 - 30/09/2017</v>
      </c>
      <c r="I201" t="str">
        <f>"320,00 EUR"</f>
        <v>320,00 EUR</v>
      </c>
    </row>
    <row r="202" spans="1:9" x14ac:dyDescent="0.25">
      <c r="A202" t="str">
        <f>"Z181FFA954"</f>
        <v>Z181FFA954</v>
      </c>
      <c r="B202" t="str">
        <f t="shared" si="52"/>
        <v>AC Ravenna - 00085710390</v>
      </c>
      <c r="C202" t="str">
        <f>"VIGILANZA NOTTURNA 2 SEM"</f>
        <v>VIGILANZA NOTTURNA 2 SEM</v>
      </c>
      <c r="D202" t="str">
        <f t="shared" si="58"/>
        <v>23-AFFIDAMENTO DIRETTO</v>
      </c>
      <c r="E202" t="str">
        <f>"I.B.S.ITALIA SRL - 02107450393"</f>
        <v>I.B.S.ITALIA SRL - 02107450393</v>
      </c>
      <c r="F202" t="str">
        <f>"I.B.S.ITALIA SRL - 02107450393"</f>
        <v>I.B.S.ITALIA SRL - 02107450393</v>
      </c>
      <c r="G202" t="str">
        <f>"360,00 EUR"</f>
        <v>360,00 EUR</v>
      </c>
      <c r="H202" t="str">
        <f>"21/09/2017 - 31/12/2017"</f>
        <v>21/09/2017 - 31/12/2017</v>
      </c>
      <c r="I202" t="str">
        <f>"360,00 EUR"</f>
        <v>360,00 EUR</v>
      </c>
    </row>
    <row r="203" spans="1:9" x14ac:dyDescent="0.25">
      <c r="A203" t="str">
        <f>"Z6B1FFAA21"</f>
        <v>Z6B1FFAA21</v>
      </c>
      <c r="B203" t="str">
        <f t="shared" si="52"/>
        <v>AC Ravenna - 00085710390</v>
      </c>
      <c r="C203" t="str">
        <f>"MODULISTICA UFF.A.A."</f>
        <v>MODULISTICA UFF.A.A.</v>
      </c>
      <c r="D203" t="str">
        <f t="shared" si="58"/>
        <v>23-AFFIDAMENTO DIRETTO</v>
      </c>
      <c r="E203" t="str">
        <f>"TIPOLITOGRAFIA MAZZANTI S.r.l. - 02091850392"</f>
        <v>TIPOLITOGRAFIA MAZZANTI S.r.l. - 02091850392</v>
      </c>
      <c r="F203" t="str">
        <f>"TIPOLITOGRAFIA MAZZANTI S.r.l. - 02091850392"</f>
        <v>TIPOLITOGRAFIA MAZZANTI S.r.l. - 02091850392</v>
      </c>
      <c r="G203" t="str">
        <f>"310,00 EUR"</f>
        <v>310,00 EUR</v>
      </c>
      <c r="H203" t="str">
        <f>"21/09/2017 - 30/09/2017"</f>
        <v>21/09/2017 - 30/09/2017</v>
      </c>
      <c r="I203" t="str">
        <f>"310,00 EUR"</f>
        <v>310,00 EUR</v>
      </c>
    </row>
    <row r="204" spans="1:9" x14ac:dyDescent="0.25">
      <c r="A204" t="str">
        <f>"Z821FFAA72"</f>
        <v>Z821FFAA72</v>
      </c>
      <c r="B204" t="str">
        <f t="shared" si="52"/>
        <v>AC Ravenna - 00085710390</v>
      </c>
      <c r="C204" t="str">
        <f>"MANUTENZIONE IMMOBILE"</f>
        <v>MANUTENZIONE IMMOBILE</v>
      </c>
      <c r="D204" t="str">
        <f t="shared" si="58"/>
        <v>23-AFFIDAMENTO DIRETTO</v>
      </c>
      <c r="E204" t="str">
        <f>"ASSA ABLOY ENTRANCE SYSTEMS SPA - 08403530150"</f>
        <v>ASSA ABLOY ENTRANCE SYSTEMS SPA - 08403530150</v>
      </c>
      <c r="F204" t="str">
        <f>"ASSA ABLOY ENTRANCE SYSTEMS SPA - 08403530150"</f>
        <v>ASSA ABLOY ENTRANCE SYSTEMS SPA - 08403530150</v>
      </c>
      <c r="G204" t="str">
        <f>"351,00 EUR"</f>
        <v>351,00 EUR</v>
      </c>
      <c r="H204" t="str">
        <f>"21/09/2017 - 30/09/2017"</f>
        <v>21/09/2017 - 30/09/2017</v>
      </c>
      <c r="I204" t="str">
        <f>"351,00 EUR"</f>
        <v>351,00 EUR</v>
      </c>
    </row>
    <row r="205" spans="1:9" x14ac:dyDescent="0.25">
      <c r="A205" t="str">
        <f>"Z231FF34AD"</f>
        <v>Z231FF34AD</v>
      </c>
      <c r="B205" t="str">
        <f t="shared" si="52"/>
        <v>AC Ravenna - 00085710390</v>
      </c>
      <c r="C205" t="str">
        <f>"AFFIDAMENTO BIENNALE PULIZIE SEDE"</f>
        <v>AFFIDAMENTO BIENNALE PULIZIE SEDE</v>
      </c>
      <c r="D205" t="str">
        <f t="shared" si="58"/>
        <v>23-AFFIDAMENTO DIRETTO</v>
      </c>
      <c r="E205" t="str">
        <f>"CENTRO IGIENE S.r.l. - 02368400392"</f>
        <v>CENTRO IGIENE S.r.l. - 02368400392</v>
      </c>
      <c r="F205" t="str">
        <f>"CENTRO IGIENE S.r.l. - 02368400392"</f>
        <v>CENTRO IGIENE S.r.l. - 02368400392</v>
      </c>
      <c r="G205" t="str">
        <f>"33.000,00 EUR"</f>
        <v>33.000,00 EUR</v>
      </c>
      <c r="H205" t="str">
        <f>"19/09/2017 - 19/10/2019"</f>
        <v>19/09/2017 - 19/10/2019</v>
      </c>
      <c r="I205" t="str">
        <f>"4.125,00 EUR"</f>
        <v>4.125,00 EUR</v>
      </c>
    </row>
    <row r="206" spans="1:9" x14ac:dyDescent="0.25">
      <c r="A206" t="str">
        <f>"Z311FEB8FD"</f>
        <v>Z311FEB8FD</v>
      </c>
      <c r="B206" t="str">
        <f t="shared" si="52"/>
        <v>AC Ravenna - 00085710390</v>
      </c>
      <c r="C206" t="str">
        <f>"ACQUISTO ANTIVIRUS"</f>
        <v>ACQUISTO ANTIVIRUS</v>
      </c>
      <c r="D206" t="str">
        <f t="shared" si="58"/>
        <v>23-AFFIDAMENTO DIRETTO</v>
      </c>
      <c r="E206" t="str">
        <f>"HARVARD GROUP S.r.l. - 02254110402"</f>
        <v>HARVARD GROUP S.r.l. - 02254110402</v>
      </c>
      <c r="F206" t="str">
        <f>"HARVARD GROUP S.r.l. - 02254110402"</f>
        <v>HARVARD GROUP S.r.l. - 02254110402</v>
      </c>
      <c r="G206" t="str">
        <f>"176,00 EUR"</f>
        <v>176,00 EUR</v>
      </c>
      <c r="H206" t="str">
        <f>"16/09/2017 - 30/09/2017"</f>
        <v>16/09/2017 - 30/09/2017</v>
      </c>
      <c r="I206" t="str">
        <f>"176,00 EUR"</f>
        <v>176,00 EUR</v>
      </c>
    </row>
    <row r="207" spans="1:9" x14ac:dyDescent="0.25">
      <c r="A207" t="str">
        <f>"ZB01FDF1DE"</f>
        <v>ZB01FDF1DE</v>
      </c>
      <c r="B207" t="str">
        <f t="shared" si="52"/>
        <v>AC Ravenna - 00085710390</v>
      </c>
      <c r="C207" t="str">
        <f>"OMAGGI CAMPAGNA SOCIALE 2018"</f>
        <v>OMAGGI CAMPAGNA SOCIALE 2018</v>
      </c>
      <c r="D207" t="str">
        <f t="shared" si="58"/>
        <v>23-AFFIDAMENTO DIRETTO</v>
      </c>
      <c r="E207" t="str">
        <f>"SUNUP S.r.l. - 03496530365"</f>
        <v>SUNUP S.r.l. - 03496530365</v>
      </c>
      <c r="F207" t="str">
        <f>"SUNUP S.r.l. - 03496530365"</f>
        <v>SUNUP S.r.l. - 03496530365</v>
      </c>
      <c r="G207" t="str">
        <f>"9.730,00 EUR"</f>
        <v>9.730,00 EUR</v>
      </c>
      <c r="H207" t="str">
        <f>"13/09/2017 - 31/12/2017"</f>
        <v>13/09/2017 - 31/12/2017</v>
      </c>
      <c r="I207" t="str">
        <f>"0,00 EUR"</f>
        <v>0,00 EUR</v>
      </c>
    </row>
    <row r="208" spans="1:9" x14ac:dyDescent="0.25">
      <c r="A208" t="str">
        <f>"ZE21FDA429"</f>
        <v>ZE21FDA429</v>
      </c>
      <c r="B208" t="str">
        <f t="shared" si="52"/>
        <v>AC Ravenna - 00085710390</v>
      </c>
      <c r="C208" t="str">
        <f>"ASSIST.TECNICA HARVARD"</f>
        <v>ASSIST.TECNICA HARVARD</v>
      </c>
      <c r="D208" t="str">
        <f t="shared" si="58"/>
        <v>23-AFFIDAMENTO DIRETTO</v>
      </c>
      <c r="E208" t="str">
        <f>"HARVARD SERVICE S.r.l. - 02054730409"</f>
        <v>HARVARD SERVICE S.r.l. - 02054730409</v>
      </c>
      <c r="F208" t="str">
        <f>"HARVARD SERVICE S.r.l. - 02054730409"</f>
        <v>HARVARD SERVICE S.r.l. - 02054730409</v>
      </c>
      <c r="G208" t="str">
        <f>"1.654,00 EUR"</f>
        <v>1.654,00 EUR</v>
      </c>
      <c r="H208" t="str">
        <f>"11/09/2017 - 31/12/2017"</f>
        <v>11/09/2017 - 31/12/2017</v>
      </c>
      <c r="I208" t="str">
        <f>"1.654,00 EUR"</f>
        <v>1.654,00 EUR</v>
      </c>
    </row>
    <row r="209" spans="1:9" x14ac:dyDescent="0.25">
      <c r="A209" t="str">
        <f>"ZEA1FCEEF8"</f>
        <v>ZEA1FCEEF8</v>
      </c>
      <c r="B209" t="str">
        <f t="shared" si="52"/>
        <v>AC Ravenna - 00085710390</v>
      </c>
      <c r="C209" t="str">
        <f>"RECAPITO SOCI"</f>
        <v>RECAPITO SOCI</v>
      </c>
      <c r="D209" t="str">
        <f t="shared" si="58"/>
        <v>23-AFFIDAMENTO DIRETTO</v>
      </c>
      <c r="E209" t="str">
        <f t="shared" ref="E209:F211" si="63">"FUTURFIL SRL - 02471780391"</f>
        <v>FUTURFIL SRL - 02471780391</v>
      </c>
      <c r="F209" t="str">
        <f t="shared" si="63"/>
        <v>FUTURFIL SRL - 02471780391</v>
      </c>
      <c r="G209" t="str">
        <f>"283,00 EUR"</f>
        <v>283,00 EUR</v>
      </c>
      <c r="H209" t="str">
        <f>"07/09/2017 - 30/09/2017"</f>
        <v>07/09/2017 - 30/09/2017</v>
      </c>
      <c r="I209" t="str">
        <f>"283,00 EUR"</f>
        <v>283,00 EUR</v>
      </c>
    </row>
    <row r="210" spans="1:9" x14ac:dyDescent="0.25">
      <c r="A210" t="str">
        <f>"Z791FCEEE8"</f>
        <v>Z791FCEEE8</v>
      </c>
      <c r="B210" t="str">
        <f t="shared" si="52"/>
        <v>AC Ravenna - 00085710390</v>
      </c>
      <c r="C210" t="str">
        <f>"RECAPITO PATENTI"</f>
        <v>RECAPITO PATENTI</v>
      </c>
      <c r="D210" t="str">
        <f t="shared" si="58"/>
        <v>23-AFFIDAMENTO DIRETTO</v>
      </c>
      <c r="E210" t="str">
        <f t="shared" si="63"/>
        <v>FUTURFIL SRL - 02471780391</v>
      </c>
      <c r="F210" t="str">
        <f t="shared" si="63"/>
        <v>FUTURFIL SRL - 02471780391</v>
      </c>
      <c r="G210" t="str">
        <f>"546,00 EUR"</f>
        <v>546,00 EUR</v>
      </c>
      <c r="H210" t="str">
        <f>"07/09/2017 - 30/09/2017"</f>
        <v>07/09/2017 - 30/09/2017</v>
      </c>
      <c r="I210" t="str">
        <f>"546,00 EUR"</f>
        <v>546,00 EUR</v>
      </c>
    </row>
    <row r="211" spans="1:9" x14ac:dyDescent="0.25">
      <c r="A211" t="str">
        <f>"ZD81FCEF05"</f>
        <v>ZD81FCEF05</v>
      </c>
      <c r="B211" t="str">
        <f t="shared" si="52"/>
        <v>AC Ravenna - 00085710390</v>
      </c>
      <c r="C211" t="str">
        <f>"RECAPITO BOLSE"</f>
        <v>RECAPITO BOLSE</v>
      </c>
      <c r="D211" t="str">
        <f t="shared" si="58"/>
        <v>23-AFFIDAMENTO DIRETTO</v>
      </c>
      <c r="E211" t="str">
        <f t="shared" si="63"/>
        <v>FUTURFIL SRL - 02471780391</v>
      </c>
      <c r="F211" t="str">
        <f t="shared" si="63"/>
        <v>FUTURFIL SRL - 02471780391</v>
      </c>
      <c r="G211" t="str">
        <f>"1.209,00 EUR"</f>
        <v>1.209,00 EUR</v>
      </c>
      <c r="H211" t="str">
        <f>"07/09/2017 - 30/09/2017"</f>
        <v>07/09/2017 - 30/09/2017</v>
      </c>
      <c r="I211" t="str">
        <f>"1.209,00 EUR"</f>
        <v>1.209,00 EUR</v>
      </c>
    </row>
    <row r="212" spans="1:9" x14ac:dyDescent="0.25">
      <c r="A212" t="str">
        <f>"Z611FCA8B5"</f>
        <v>Z611FCA8B5</v>
      </c>
      <c r="B212" t="str">
        <f t="shared" si="52"/>
        <v>AC Ravenna - 00085710390</v>
      </c>
      <c r="C212" t="str">
        <f>"SERVIZIO ELAB.PATENTI"</f>
        <v>SERVIZIO ELAB.PATENTI</v>
      </c>
      <c r="D212" t="str">
        <f t="shared" si="58"/>
        <v>23-AFFIDAMENTO DIRETTO</v>
      </c>
      <c r="E212" t="str">
        <f t="shared" ref="E212:F214" si="64">"GAMMA INDIRIZZI SRL - 01048250391"</f>
        <v>GAMMA INDIRIZZI SRL - 01048250391</v>
      </c>
      <c r="F212" t="str">
        <f t="shared" si="64"/>
        <v>GAMMA INDIRIZZI SRL - 01048250391</v>
      </c>
      <c r="G212" t="str">
        <f>"362,00 EUR"</f>
        <v>362,00 EUR</v>
      </c>
      <c r="H212" t="str">
        <f>"05/09/2017 - 30/09/2017"</f>
        <v>05/09/2017 - 30/09/2017</v>
      </c>
      <c r="I212" t="str">
        <f>"362,00 EUR"</f>
        <v>362,00 EUR</v>
      </c>
    </row>
    <row r="213" spans="1:9" x14ac:dyDescent="0.25">
      <c r="A213" t="str">
        <f>"Z191FCA8E9"</f>
        <v>Z191FCA8E9</v>
      </c>
      <c r="B213" t="str">
        <f t="shared" si="52"/>
        <v>AC Ravenna - 00085710390</v>
      </c>
      <c r="C213" t="str">
        <f>"SERVIZIO ELAB.SOCI"</f>
        <v>SERVIZIO ELAB.SOCI</v>
      </c>
      <c r="D213" t="str">
        <f t="shared" si="58"/>
        <v>23-AFFIDAMENTO DIRETTO</v>
      </c>
      <c r="E213" t="str">
        <f t="shared" si="64"/>
        <v>GAMMA INDIRIZZI SRL - 01048250391</v>
      </c>
      <c r="F213" t="str">
        <f t="shared" si="64"/>
        <v>GAMMA INDIRIZZI SRL - 01048250391</v>
      </c>
      <c r="G213" t="str">
        <f>"407,00 EUR"</f>
        <v>407,00 EUR</v>
      </c>
      <c r="H213" t="str">
        <f>"05/09/2017 - 30/09/2017"</f>
        <v>05/09/2017 - 30/09/2017</v>
      </c>
      <c r="I213" t="str">
        <f>"407,00 EUR"</f>
        <v>407,00 EUR</v>
      </c>
    </row>
    <row r="214" spans="1:9" x14ac:dyDescent="0.25">
      <c r="A214" t="str">
        <f>"Z821FCA8C7"</f>
        <v>Z821FCA8C7</v>
      </c>
      <c r="B214" t="str">
        <f t="shared" si="52"/>
        <v>AC Ravenna - 00085710390</v>
      </c>
      <c r="C214" t="str">
        <f>"SERVIZIO ELAB.BOLSE"</f>
        <v>SERVIZIO ELAB.BOLSE</v>
      </c>
      <c r="D214" t="str">
        <f t="shared" si="58"/>
        <v>23-AFFIDAMENTO DIRETTO</v>
      </c>
      <c r="E214" t="str">
        <f t="shared" si="64"/>
        <v>GAMMA INDIRIZZI SRL - 01048250391</v>
      </c>
      <c r="F214" t="str">
        <f t="shared" si="64"/>
        <v>GAMMA INDIRIZZI SRL - 01048250391</v>
      </c>
      <c r="G214" t="str">
        <f>"835,00 EUR"</f>
        <v>835,00 EUR</v>
      </c>
      <c r="H214" t="str">
        <f>"05/09/2017 - 30/09/2017"</f>
        <v>05/09/2017 - 30/09/2017</v>
      </c>
      <c r="I214" t="str">
        <f>"835,00 EUR"</f>
        <v>835,00 EUR</v>
      </c>
    </row>
    <row r="215" spans="1:9" x14ac:dyDescent="0.25">
      <c r="A215" t="str">
        <f>"Z201FC6B11"</f>
        <v>Z201FC6B11</v>
      </c>
      <c r="B215" t="str">
        <f t="shared" si="52"/>
        <v>AC Ravenna - 00085710390</v>
      </c>
      <c r="C215" t="str">
        <f>"MANUTENZIONE IMPIANTI"</f>
        <v>MANUTENZIONE IMPIANTI</v>
      </c>
      <c r="D215" t="str">
        <f t="shared" si="58"/>
        <v>23-AFFIDAMENTO DIRETTO</v>
      </c>
      <c r="E215" t="str">
        <f>"NILO TERMOIDRAULICA SRL - 02500700394"</f>
        <v>NILO TERMOIDRAULICA SRL - 02500700394</v>
      </c>
      <c r="F215" t="str">
        <f>"NILO TERMOIDRAULICA SRL - 02500700394"</f>
        <v>NILO TERMOIDRAULICA SRL - 02500700394</v>
      </c>
      <c r="G215" t="str">
        <f>"82,00 EUR"</f>
        <v>82,00 EUR</v>
      </c>
      <c r="H215" t="str">
        <f>"04/09/2017 - 30/09/2017"</f>
        <v>04/09/2017 - 30/09/2017</v>
      </c>
      <c r="I215" t="str">
        <f>"82,00 EUR"</f>
        <v>82,00 EUR</v>
      </c>
    </row>
    <row r="216" spans="1:9" x14ac:dyDescent="0.25">
      <c r="A216" t="str">
        <f>"Z4F1FBD304"</f>
        <v>Z4F1FBD304</v>
      </c>
      <c r="B216" t="str">
        <f t="shared" si="52"/>
        <v>AC Ravenna - 00085710390</v>
      </c>
      <c r="C216" t="str">
        <f>"ASSISTENZA CED"</f>
        <v>ASSISTENZA CED</v>
      </c>
      <c r="D216" t="str">
        <f t="shared" si="58"/>
        <v>23-AFFIDAMENTO DIRETTO</v>
      </c>
      <c r="E216" t="str">
        <f>"HARVARD SERVICE S.r.l. - 02054730409"</f>
        <v>HARVARD SERVICE S.r.l. - 02054730409</v>
      </c>
      <c r="F216" t="str">
        <f>"HARVARD SERVICE S.r.l. - 02054730409"</f>
        <v>HARVARD SERVICE S.r.l. - 02054730409</v>
      </c>
      <c r="G216" t="str">
        <f>"258,00 EUR"</f>
        <v>258,00 EUR</v>
      </c>
      <c r="H216" t="str">
        <f>"31/08/2017 - 31/08/2017"</f>
        <v>31/08/2017 - 31/08/2017</v>
      </c>
      <c r="I216" t="str">
        <f>"258,00 EUR"</f>
        <v>258,00 EUR</v>
      </c>
    </row>
    <row r="217" spans="1:9" x14ac:dyDescent="0.25">
      <c r="A217" t="str">
        <f>"ZE21FB9B88"</f>
        <v>ZE21FB9B88</v>
      </c>
      <c r="B217" t="str">
        <f t="shared" si="52"/>
        <v>AC Ravenna - 00085710390</v>
      </c>
      <c r="C217" t="str">
        <f>"MODULISTICA UFF.A.A."</f>
        <v>MODULISTICA UFF.A.A.</v>
      </c>
      <c r="D217" t="str">
        <f t="shared" si="58"/>
        <v>23-AFFIDAMENTO DIRETTO</v>
      </c>
      <c r="E217" t="str">
        <f>"SAMORANI S.R.L. - 02705640403"</f>
        <v>SAMORANI S.R.L. - 02705640403</v>
      </c>
      <c r="F217" t="str">
        <f>"SAMORANI S.R.L. - 02705640403"</f>
        <v>SAMORANI S.R.L. - 02705640403</v>
      </c>
      <c r="G217" t="str">
        <f>"320,00 EUR"</f>
        <v>320,00 EUR</v>
      </c>
      <c r="H217" t="str">
        <f>"29/08/2017 - 31/08/2017"</f>
        <v>29/08/2017 - 31/08/2017</v>
      </c>
      <c r="I217" t="str">
        <f>"320,00 EUR"</f>
        <v>320,00 EUR</v>
      </c>
    </row>
    <row r="218" spans="1:9" x14ac:dyDescent="0.25">
      <c r="A218" t="str">
        <f>"Z851FB7D90"</f>
        <v>Z851FB7D90</v>
      </c>
      <c r="B218" t="str">
        <f t="shared" si="52"/>
        <v>AC Ravenna - 00085710390</v>
      </c>
      <c r="C218" t="str">
        <f>"ACQUISTO SOFTWARE"</f>
        <v>ACQUISTO SOFTWARE</v>
      </c>
      <c r="D218" t="str">
        <f t="shared" si="58"/>
        <v>23-AFFIDAMENTO DIRETTO</v>
      </c>
      <c r="E218" t="str">
        <f>"HARVARD GROUP S.r.l. - 02254110402"</f>
        <v>HARVARD GROUP S.r.l. - 02254110402</v>
      </c>
      <c r="F218" t="str">
        <f>"HARVARD GROUP S.r.l. - 02254110402"</f>
        <v>HARVARD GROUP S.r.l. - 02254110402</v>
      </c>
      <c r="G218" t="str">
        <f>"240,00 EUR"</f>
        <v>240,00 EUR</v>
      </c>
      <c r="H218" t="str">
        <f>"29/08/2017 - 31/08/2017"</f>
        <v>29/08/2017 - 31/08/2017</v>
      </c>
      <c r="I218" t="str">
        <f>"240,00 EUR"</f>
        <v>240,00 EUR</v>
      </c>
    </row>
    <row r="219" spans="1:9" x14ac:dyDescent="0.25">
      <c r="A219" t="str">
        <f>"Z811FABF41"</f>
        <v>Z811FABF41</v>
      </c>
      <c r="B219" t="str">
        <f t="shared" si="52"/>
        <v>AC Ravenna - 00085710390</v>
      </c>
      <c r="C219" t="str">
        <f>"VERIFICA IMPIANTO ELETTRICO"</f>
        <v>VERIFICA IMPIANTO ELETTRICO</v>
      </c>
      <c r="D219" t="str">
        <f t="shared" si="58"/>
        <v>23-AFFIDAMENTO DIRETTO</v>
      </c>
      <c r="E219" t="str">
        <f>"AESSE SRL - 01448610392"</f>
        <v>AESSE SRL - 01448610392</v>
      </c>
      <c r="F219" t="str">
        <f>"AESSE SRL - 01448610392"</f>
        <v>AESSE SRL - 01448610392</v>
      </c>
      <c r="G219" t="str">
        <f>"200,00 EUR"</f>
        <v>200,00 EUR</v>
      </c>
      <c r="H219" t="str">
        <f>"21/08/2017 - 31/08/2017"</f>
        <v>21/08/2017 - 31/08/2017</v>
      </c>
      <c r="I219" t="str">
        <f>"200,00 EUR"</f>
        <v>200,00 EUR</v>
      </c>
    </row>
    <row r="220" spans="1:9" x14ac:dyDescent="0.25">
      <c r="A220" t="str">
        <f>"Z431F85D5C"</f>
        <v>Z431F85D5C</v>
      </c>
      <c r="B220" t="str">
        <f t="shared" si="52"/>
        <v>AC Ravenna - 00085710390</v>
      </c>
      <c r="C220" t="str">
        <f>"MANUTENZIONE ESTINTORI"</f>
        <v>MANUTENZIONE ESTINTORI</v>
      </c>
      <c r="D220" t="str">
        <f t="shared" ref="D220:D251" si="65">"23-AFFIDAMENTO DIRETTO"</f>
        <v>23-AFFIDAMENTO DIRETTO</v>
      </c>
      <c r="E220" t="str">
        <f>"NUOVA OLP IMPIANTI SRL - 01478520396"</f>
        <v>NUOVA OLP IMPIANTI SRL - 01478520396</v>
      </c>
      <c r="F220" t="str">
        <f>"NUOVA OLP IMPIANTI SRL - 01478520396"</f>
        <v>NUOVA OLP IMPIANTI SRL - 01478520396</v>
      </c>
      <c r="G220" t="str">
        <f>"64,00 EUR"</f>
        <v>64,00 EUR</v>
      </c>
      <c r="H220" t="str">
        <f>"31/07/2017 - 31/07/2017"</f>
        <v>31/07/2017 - 31/07/2017</v>
      </c>
      <c r="I220" t="str">
        <f>"64,00 EUR"</f>
        <v>64,00 EUR</v>
      </c>
    </row>
    <row r="221" spans="1:9" x14ac:dyDescent="0.25">
      <c r="A221" t="str">
        <f>"ZF11F8198B"</f>
        <v>ZF11F8198B</v>
      </c>
      <c r="B221" t="str">
        <f t="shared" si="52"/>
        <v>AC Ravenna - 00085710390</v>
      </c>
      <c r="C221" t="str">
        <f>"PULIZIE SEDE"</f>
        <v>PULIZIE SEDE</v>
      </c>
      <c r="D221" t="str">
        <f t="shared" si="65"/>
        <v>23-AFFIDAMENTO DIRETTO</v>
      </c>
      <c r="E221" t="str">
        <f>"CENTRO IGIENE S.r.l. - 02368400392"</f>
        <v>CENTRO IGIENE S.r.l. - 02368400392</v>
      </c>
      <c r="F221" t="str">
        <f>"CENTRO IGIENE S.r.l. - 02368400392"</f>
        <v>CENTRO IGIENE S.r.l. - 02368400392</v>
      </c>
      <c r="G221" t="str">
        <f>"1.375,00 EUR"</f>
        <v>1.375,00 EUR</v>
      </c>
      <c r="H221" t="str">
        <f>"28/07/2017 - 31/07/2017"</f>
        <v>28/07/2017 - 31/07/2017</v>
      </c>
      <c r="I221" t="str">
        <f>"1.375,00 EUR"</f>
        <v>1.375,00 EUR</v>
      </c>
    </row>
    <row r="222" spans="1:9" x14ac:dyDescent="0.25">
      <c r="A222" t="str">
        <f>"Z801F31FDA"</f>
        <v>Z801F31FDA</v>
      </c>
      <c r="B222" t="str">
        <f t="shared" si="52"/>
        <v>AC Ravenna - 00085710390</v>
      </c>
      <c r="C222" t="str">
        <f>"PULIZIE SEDE"</f>
        <v>PULIZIE SEDE</v>
      </c>
      <c r="D222" t="str">
        <f t="shared" si="65"/>
        <v>23-AFFIDAMENTO DIRETTO</v>
      </c>
      <c r="E222" t="str">
        <f>"CENTRO IGIENE S.r.l. - 02368400392"</f>
        <v>CENTRO IGIENE S.r.l. - 02368400392</v>
      </c>
      <c r="F222" t="str">
        <f>"CENTRO IGIENE S.r.l. - 02368400392"</f>
        <v>CENTRO IGIENE S.r.l. - 02368400392</v>
      </c>
      <c r="G222" t="str">
        <f>"1.375,00 EUR"</f>
        <v>1.375,00 EUR</v>
      </c>
      <c r="H222" t="str">
        <f>"30/06/2017 - 30/06/2017"</f>
        <v>30/06/2017 - 30/06/2017</v>
      </c>
      <c r="I222" t="str">
        <f>"1.375,00 EUR"</f>
        <v>1.375,00 EUR</v>
      </c>
    </row>
    <row r="223" spans="1:9" x14ac:dyDescent="0.25">
      <c r="A223" t="str">
        <f>"ZEB1F2D8AF"</f>
        <v>ZEB1F2D8AF</v>
      </c>
      <c r="B223" t="str">
        <f t="shared" si="52"/>
        <v>AC Ravenna - 00085710390</v>
      </c>
      <c r="C223" t="str">
        <f>"MODULISTICA UFF.A.A."</f>
        <v>MODULISTICA UFF.A.A.</v>
      </c>
      <c r="D223" t="str">
        <f t="shared" si="65"/>
        <v>23-AFFIDAMENTO DIRETTO</v>
      </c>
      <c r="E223" t="str">
        <f>"SAMORANI S.R.L. - 02705640403"</f>
        <v>SAMORANI S.R.L. - 02705640403</v>
      </c>
      <c r="F223" t="str">
        <f>"SAMORANI S.R.L. - 02705640403"</f>
        <v>SAMORANI S.R.L. - 02705640403</v>
      </c>
      <c r="G223" t="str">
        <f>"240,00 EUR"</f>
        <v>240,00 EUR</v>
      </c>
      <c r="H223" t="str">
        <f>"29/06/2017 - 30/06/2017"</f>
        <v>29/06/2017 - 30/06/2017</v>
      </c>
      <c r="I223" t="str">
        <f>"240,00 EUR"</f>
        <v>240,00 EUR</v>
      </c>
    </row>
    <row r="224" spans="1:9" x14ac:dyDescent="0.25">
      <c r="A224" t="str">
        <f>"ZAE1F2C161"</f>
        <v>ZAE1F2C161</v>
      </c>
      <c r="B224" t="str">
        <f t="shared" si="52"/>
        <v>AC Ravenna - 00085710390</v>
      </c>
      <c r="C224" t="str">
        <f>"SERVIZIO ELAB.PATENTI"</f>
        <v>SERVIZIO ELAB.PATENTI</v>
      </c>
      <c r="D224" t="str">
        <f t="shared" si="65"/>
        <v>23-AFFIDAMENTO DIRETTO</v>
      </c>
      <c r="E224" t="str">
        <f t="shared" ref="E224:F226" si="66">"GAMMA INDIRIZZI SRL - 01048250391"</f>
        <v>GAMMA INDIRIZZI SRL - 01048250391</v>
      </c>
      <c r="F224" t="str">
        <f t="shared" si="66"/>
        <v>GAMMA INDIRIZZI SRL - 01048250391</v>
      </c>
      <c r="G224" t="str">
        <f>"67,00 EUR"</f>
        <v>67,00 EUR</v>
      </c>
      <c r="H224" t="str">
        <f t="shared" ref="H224:H230" si="67">"28/06/2017 - 30/06/2017"</f>
        <v>28/06/2017 - 30/06/2017</v>
      </c>
      <c r="I224" t="str">
        <f>"67,00 EUR"</f>
        <v>67,00 EUR</v>
      </c>
    </row>
    <row r="225" spans="1:9" x14ac:dyDescent="0.25">
      <c r="A225" t="str">
        <f>"Z771F2C143"</f>
        <v>Z771F2C143</v>
      </c>
      <c r="B225" t="str">
        <f t="shared" si="52"/>
        <v>AC Ravenna - 00085710390</v>
      </c>
      <c r="C225" t="str">
        <f>"SERVIZIO ELAB.SOCI"</f>
        <v>SERVIZIO ELAB.SOCI</v>
      </c>
      <c r="D225" t="str">
        <f t="shared" si="65"/>
        <v>23-AFFIDAMENTO DIRETTO</v>
      </c>
      <c r="E225" t="str">
        <f t="shared" si="66"/>
        <v>GAMMA INDIRIZZI SRL - 01048250391</v>
      </c>
      <c r="F225" t="str">
        <f t="shared" si="66"/>
        <v>GAMMA INDIRIZZI SRL - 01048250391</v>
      </c>
      <c r="G225" t="str">
        <f>"94,00 EUR"</f>
        <v>94,00 EUR</v>
      </c>
      <c r="H225" t="str">
        <f t="shared" si="67"/>
        <v>28/06/2017 - 30/06/2017</v>
      </c>
      <c r="I225" t="str">
        <f>"94,00 EUR"</f>
        <v>94,00 EUR</v>
      </c>
    </row>
    <row r="226" spans="1:9" x14ac:dyDescent="0.25">
      <c r="A226" t="str">
        <f>"Z901F2C123"</f>
        <v>Z901F2C123</v>
      </c>
      <c r="B226" t="str">
        <f t="shared" si="52"/>
        <v>AC Ravenna - 00085710390</v>
      </c>
      <c r="C226" t="str">
        <f>"SERVIZIO ELAB.BOLSE"</f>
        <v>SERVIZIO ELAB.BOLSE</v>
      </c>
      <c r="D226" t="str">
        <f t="shared" si="65"/>
        <v>23-AFFIDAMENTO DIRETTO</v>
      </c>
      <c r="E226" t="str">
        <f t="shared" si="66"/>
        <v>GAMMA INDIRIZZI SRL - 01048250391</v>
      </c>
      <c r="F226" t="str">
        <f t="shared" si="66"/>
        <v>GAMMA INDIRIZZI SRL - 01048250391</v>
      </c>
      <c r="G226" t="str">
        <f>"530,00 EUR"</f>
        <v>530,00 EUR</v>
      </c>
      <c r="H226" t="str">
        <f t="shared" si="67"/>
        <v>28/06/2017 - 30/06/2017</v>
      </c>
      <c r="I226" t="str">
        <f>"530,00 EUR"</f>
        <v>530,00 EUR</v>
      </c>
    </row>
    <row r="227" spans="1:9" x14ac:dyDescent="0.25">
      <c r="A227" t="str">
        <f>"Z4E1F2C0FF"</f>
        <v>Z4E1F2C0FF</v>
      </c>
      <c r="B227" t="str">
        <f t="shared" si="52"/>
        <v>AC Ravenna - 00085710390</v>
      </c>
      <c r="C227" t="str">
        <f>"RECAPITO SOCI"</f>
        <v>RECAPITO SOCI</v>
      </c>
      <c r="D227" t="str">
        <f t="shared" si="65"/>
        <v>23-AFFIDAMENTO DIRETTO</v>
      </c>
      <c r="E227" t="str">
        <f t="shared" ref="E227:F229" si="68">"FUTURFIL SRL - 02471780391"</f>
        <v>FUTURFIL SRL - 02471780391</v>
      </c>
      <c r="F227" t="str">
        <f t="shared" si="68"/>
        <v>FUTURFIL SRL - 02471780391</v>
      </c>
      <c r="G227" t="str">
        <f>"83,00 EUR"</f>
        <v>83,00 EUR</v>
      </c>
      <c r="H227" t="str">
        <f t="shared" si="67"/>
        <v>28/06/2017 - 30/06/2017</v>
      </c>
      <c r="I227" t="str">
        <f>"83,00 EUR"</f>
        <v>83,00 EUR</v>
      </c>
    </row>
    <row r="228" spans="1:9" x14ac:dyDescent="0.25">
      <c r="A228" t="str">
        <f>"Z721F2C0E5"</f>
        <v>Z721F2C0E5</v>
      </c>
      <c r="B228" t="str">
        <f t="shared" si="52"/>
        <v>AC Ravenna - 00085710390</v>
      </c>
      <c r="C228" t="str">
        <f>"RECAPITO PATENTI"</f>
        <v>RECAPITO PATENTI</v>
      </c>
      <c r="D228" t="str">
        <f t="shared" si="65"/>
        <v>23-AFFIDAMENTO DIRETTO</v>
      </c>
      <c r="E228" t="str">
        <f t="shared" si="68"/>
        <v>FUTURFIL SRL - 02471780391</v>
      </c>
      <c r="F228" t="str">
        <f t="shared" si="68"/>
        <v>FUTURFIL SRL - 02471780391</v>
      </c>
      <c r="G228" t="str">
        <f>"257,00 EUR"</f>
        <v>257,00 EUR</v>
      </c>
      <c r="H228" t="str">
        <f t="shared" si="67"/>
        <v>28/06/2017 - 30/06/2017</v>
      </c>
      <c r="I228" t="str">
        <f>"257,00 EUR"</f>
        <v>257,00 EUR</v>
      </c>
    </row>
    <row r="229" spans="1:9" x14ac:dyDescent="0.25">
      <c r="A229" t="str">
        <f>"Z751F2C0B9"</f>
        <v>Z751F2C0B9</v>
      </c>
      <c r="B229" t="str">
        <f t="shared" si="52"/>
        <v>AC Ravenna - 00085710390</v>
      </c>
      <c r="C229" t="str">
        <f>"RECAPITO BOLSE"</f>
        <v>RECAPITO BOLSE</v>
      </c>
      <c r="D229" t="str">
        <f t="shared" si="65"/>
        <v>23-AFFIDAMENTO DIRETTO</v>
      </c>
      <c r="E229" t="str">
        <f t="shared" si="68"/>
        <v>FUTURFIL SRL - 02471780391</v>
      </c>
      <c r="F229" t="str">
        <f t="shared" si="68"/>
        <v>FUTURFIL SRL - 02471780391</v>
      </c>
      <c r="G229" t="str">
        <f>"781,00 EUR"</f>
        <v>781,00 EUR</v>
      </c>
      <c r="H229" t="str">
        <f t="shared" si="67"/>
        <v>28/06/2017 - 30/06/2017</v>
      </c>
      <c r="I229" t="str">
        <f>"781,00 EUR"</f>
        <v>781,00 EUR</v>
      </c>
    </row>
    <row r="230" spans="1:9" x14ac:dyDescent="0.25">
      <c r="A230" t="str">
        <f>"Z4C1F2C075"</f>
        <v>Z4C1F2C075</v>
      </c>
      <c r="B230" t="str">
        <f t="shared" si="52"/>
        <v>AC Ravenna - 00085710390</v>
      </c>
      <c r="C230" t="str">
        <f>"MODUILISTICA UFF.A.A."</f>
        <v>MODUILISTICA UFF.A.A.</v>
      </c>
      <c r="D230" t="str">
        <f t="shared" si="65"/>
        <v>23-AFFIDAMENTO DIRETTO</v>
      </c>
      <c r="E230" t="str">
        <f>"TIPOLITOGRAFIA MAZZANTI S.r.l. - 02091850392"</f>
        <v>TIPOLITOGRAFIA MAZZANTI S.r.l. - 02091850392</v>
      </c>
      <c r="F230" t="str">
        <f>"TIPOLITOGRAFIA MAZZANTI S.r.l. - 02091850392"</f>
        <v>TIPOLITOGRAFIA MAZZANTI S.r.l. - 02091850392</v>
      </c>
      <c r="G230" t="str">
        <f>"268,00 EUR"</f>
        <v>268,00 EUR</v>
      </c>
      <c r="H230" t="str">
        <f t="shared" si="67"/>
        <v>28/06/2017 - 30/06/2017</v>
      </c>
      <c r="I230" t="str">
        <f>"268,00 EUR"</f>
        <v>268,00 EUR</v>
      </c>
    </row>
    <row r="231" spans="1:9" x14ac:dyDescent="0.25">
      <c r="A231" t="str">
        <f>"Z351EFADCE"</f>
        <v>Z351EFADCE</v>
      </c>
      <c r="B231" t="str">
        <f t="shared" si="52"/>
        <v>AC Ravenna - 00085710390</v>
      </c>
      <c r="C231" t="str">
        <f>"MANUTENZIONE SITO"</f>
        <v>MANUTENZIONE SITO</v>
      </c>
      <c r="D231" t="str">
        <f t="shared" si="65"/>
        <v>23-AFFIDAMENTO DIRETTO</v>
      </c>
      <c r="E231" t="str">
        <f>"SIMATICA SRL - 02070730391"</f>
        <v>SIMATICA SRL - 02070730391</v>
      </c>
      <c r="F231" t="str">
        <f>"SIMATICA SRL - 02070730391"</f>
        <v>SIMATICA SRL - 02070730391</v>
      </c>
      <c r="G231" t="str">
        <f>"400,00 EUR"</f>
        <v>400,00 EUR</v>
      </c>
      <c r="H231" t="str">
        <f>"13/06/2017 - 30/06/2017"</f>
        <v>13/06/2017 - 30/06/2017</v>
      </c>
      <c r="I231" t="str">
        <f>"400,00 EUR"</f>
        <v>400,00 EUR</v>
      </c>
    </row>
    <row r="232" spans="1:9" x14ac:dyDescent="0.25">
      <c r="A232" t="str">
        <f>"Z681EE364E"</f>
        <v>Z681EE364E</v>
      </c>
      <c r="B232" t="str">
        <f t="shared" si="52"/>
        <v>AC Ravenna - 00085710390</v>
      </c>
      <c r="C232" t="str">
        <f>"MANUTENZIONE IMPIANTRI"</f>
        <v>MANUTENZIONE IMPIANTRI</v>
      </c>
      <c r="D232" t="str">
        <f t="shared" si="65"/>
        <v>23-AFFIDAMENTO DIRETTO</v>
      </c>
      <c r="E232" t="str">
        <f>"NILO TERMOIDRAULICA SRL - 02500700394"</f>
        <v>NILO TERMOIDRAULICA SRL - 02500700394</v>
      </c>
      <c r="F232" t="str">
        <f>"NILO TERMOIDRAULICA SRL - 02500700394"</f>
        <v>NILO TERMOIDRAULICA SRL - 02500700394</v>
      </c>
      <c r="G232" t="str">
        <f>"250,00 EUR"</f>
        <v>250,00 EUR</v>
      </c>
      <c r="H232" t="str">
        <f>"06/06/2017 - 30/06/2017"</f>
        <v>06/06/2017 - 30/06/2017</v>
      </c>
      <c r="I232" t="str">
        <f>"250,00 EUR"</f>
        <v>250,00 EUR</v>
      </c>
    </row>
    <row r="233" spans="1:9" x14ac:dyDescent="0.25">
      <c r="A233" t="str">
        <f>"Z291EDDDC0"</f>
        <v>Z291EDDDC0</v>
      </c>
      <c r="B233" t="str">
        <f t="shared" si="52"/>
        <v>AC Ravenna - 00085710390</v>
      </c>
      <c r="C233" t="str">
        <f>"MODULISTICA UFF.A.A."</f>
        <v>MODULISTICA UFF.A.A.</v>
      </c>
      <c r="D233" t="str">
        <f t="shared" si="65"/>
        <v>23-AFFIDAMENTO DIRETTO</v>
      </c>
      <c r="E233" t="str">
        <f>"TIPOLITOGRAFIA MAZZANTI S.r.l. - 02091850392"</f>
        <v>TIPOLITOGRAFIA MAZZANTI S.r.l. - 02091850392</v>
      </c>
      <c r="F233" t="str">
        <f>"TIPOLITOGRAFIA MAZZANTI S.r.l. - 02091850392"</f>
        <v>TIPOLITOGRAFIA MAZZANTI S.r.l. - 02091850392</v>
      </c>
      <c r="G233" t="str">
        <f>"425,00 EUR"</f>
        <v>425,00 EUR</v>
      </c>
      <c r="H233" t="str">
        <f>"05/06/2017 - 30/06/2017"</f>
        <v>05/06/2017 - 30/06/2017</v>
      </c>
      <c r="I233" t="str">
        <f>"425,00 EUR"</f>
        <v>425,00 EUR</v>
      </c>
    </row>
    <row r="234" spans="1:9" x14ac:dyDescent="0.25">
      <c r="A234" t="str">
        <f>"ZBF1EDDDFB"</f>
        <v>ZBF1EDDDFB</v>
      </c>
      <c r="B234" t="str">
        <f t="shared" si="52"/>
        <v>AC Ravenna - 00085710390</v>
      </c>
      <c r="C234" t="str">
        <f>"MODULISTICA BOLSE"</f>
        <v>MODULISTICA BOLSE</v>
      </c>
      <c r="D234" t="str">
        <f t="shared" si="65"/>
        <v>23-AFFIDAMENTO DIRETTO</v>
      </c>
      <c r="E234" t="str">
        <f>"TIPOLITOGRAFIA MAZZANTI S.r.l. - 02091850392"</f>
        <v>TIPOLITOGRAFIA MAZZANTI S.r.l. - 02091850392</v>
      </c>
      <c r="F234" t="str">
        <f>"TIPOLITOGRAFIA MAZZANTI S.r.l. - 02091850392"</f>
        <v>TIPOLITOGRAFIA MAZZANTI S.r.l. - 02091850392</v>
      </c>
      <c r="G234" t="str">
        <f>"92,00 EUR"</f>
        <v>92,00 EUR</v>
      </c>
      <c r="H234" t="str">
        <f>"05/06/2017 - 30/06/2017"</f>
        <v>05/06/2017 - 30/06/2017</v>
      </c>
      <c r="I234" t="str">
        <f>"92,00 EUR"</f>
        <v>92,00 EUR</v>
      </c>
    </row>
    <row r="235" spans="1:9" x14ac:dyDescent="0.25">
      <c r="A235" t="str">
        <f>"Z8F1ED3B08"</f>
        <v>Z8F1ED3B08</v>
      </c>
      <c r="B235" t="str">
        <f t="shared" si="52"/>
        <v>AC Ravenna - 00085710390</v>
      </c>
      <c r="C235" t="str">
        <f>"PULIZIE SEDE"</f>
        <v>PULIZIE SEDE</v>
      </c>
      <c r="D235" t="str">
        <f t="shared" si="65"/>
        <v>23-AFFIDAMENTO DIRETTO</v>
      </c>
      <c r="E235" t="str">
        <f>"CENTRO IGIENE S.r.l. - 02368400392"</f>
        <v>CENTRO IGIENE S.r.l. - 02368400392</v>
      </c>
      <c r="F235" t="str">
        <f>"CENTRO IGIENE S.r.l. - 02368400392"</f>
        <v>CENTRO IGIENE S.r.l. - 02368400392</v>
      </c>
      <c r="G235" t="str">
        <f>"1.375,00 EUR"</f>
        <v>1.375,00 EUR</v>
      </c>
      <c r="H235" t="str">
        <f>"31/05/2017 - 31/05/2017"</f>
        <v>31/05/2017 - 31/05/2017</v>
      </c>
      <c r="I235" t="str">
        <f>"1.375,00 EUR"</f>
        <v>1.375,00 EUR</v>
      </c>
    </row>
    <row r="236" spans="1:9" x14ac:dyDescent="0.25">
      <c r="A236" t="str">
        <f>"ZCD1ECA8FC"</f>
        <v>ZCD1ECA8FC</v>
      </c>
      <c r="B236" t="str">
        <f t="shared" si="52"/>
        <v>AC Ravenna - 00085710390</v>
      </c>
      <c r="C236" t="str">
        <f>"SERVIZIO ELAB.PATENTI"</f>
        <v>SERVIZIO ELAB.PATENTI</v>
      </c>
      <c r="D236" t="str">
        <f t="shared" si="65"/>
        <v>23-AFFIDAMENTO DIRETTO</v>
      </c>
      <c r="E236" t="str">
        <f t="shared" ref="E236:F238" si="69">"GAMMA INDIRIZZI SRL - 01048250391"</f>
        <v>GAMMA INDIRIZZI SRL - 01048250391</v>
      </c>
      <c r="F236" t="str">
        <f t="shared" si="69"/>
        <v>GAMMA INDIRIZZI SRL - 01048250391</v>
      </c>
      <c r="G236" t="str">
        <f>"71,00 EUR"</f>
        <v>71,00 EUR</v>
      </c>
      <c r="H236" t="str">
        <f t="shared" ref="H236:H241" si="70">"29/05/2017 - 31/05/2017"</f>
        <v>29/05/2017 - 31/05/2017</v>
      </c>
      <c r="I236" t="str">
        <f>"71,00 EUR"</f>
        <v>71,00 EUR</v>
      </c>
    </row>
    <row r="237" spans="1:9" x14ac:dyDescent="0.25">
      <c r="A237" t="str">
        <f>"ZDF1ECA8EF"</f>
        <v>ZDF1ECA8EF</v>
      </c>
      <c r="B237" t="str">
        <f t="shared" ref="B237:B300" si="71">"AC Ravenna - 00085710390"</f>
        <v>AC Ravenna - 00085710390</v>
      </c>
      <c r="C237" t="str">
        <f>"SERVIZIO ELAB.SOCI"</f>
        <v>SERVIZIO ELAB.SOCI</v>
      </c>
      <c r="D237" t="str">
        <f t="shared" si="65"/>
        <v>23-AFFIDAMENTO DIRETTO</v>
      </c>
      <c r="E237" t="str">
        <f t="shared" si="69"/>
        <v>GAMMA INDIRIZZI SRL - 01048250391</v>
      </c>
      <c r="F237" t="str">
        <f t="shared" si="69"/>
        <v>GAMMA INDIRIZZI SRL - 01048250391</v>
      </c>
      <c r="G237" t="str">
        <f>"79,00 EUR"</f>
        <v>79,00 EUR</v>
      </c>
      <c r="H237" t="str">
        <f t="shared" si="70"/>
        <v>29/05/2017 - 31/05/2017</v>
      </c>
      <c r="I237" t="str">
        <f>"79,00 EUR"</f>
        <v>79,00 EUR</v>
      </c>
    </row>
    <row r="238" spans="1:9" x14ac:dyDescent="0.25">
      <c r="A238" t="str">
        <f>"Z011ECA8E8"</f>
        <v>Z011ECA8E8</v>
      </c>
      <c r="B238" t="str">
        <f t="shared" si="71"/>
        <v>AC Ravenna - 00085710390</v>
      </c>
      <c r="C238" t="str">
        <f>"SERVIZIO ELAB.BOLSE"</f>
        <v>SERVIZIO ELAB.BOLSE</v>
      </c>
      <c r="D238" t="str">
        <f t="shared" si="65"/>
        <v>23-AFFIDAMENTO DIRETTO</v>
      </c>
      <c r="E238" t="str">
        <f t="shared" si="69"/>
        <v>GAMMA INDIRIZZI SRL - 01048250391</v>
      </c>
      <c r="F238" t="str">
        <f t="shared" si="69"/>
        <v>GAMMA INDIRIZZI SRL - 01048250391</v>
      </c>
      <c r="G238" t="str">
        <f>"186,00 EUR"</f>
        <v>186,00 EUR</v>
      </c>
      <c r="H238" t="str">
        <f t="shared" si="70"/>
        <v>29/05/2017 - 31/05/2017</v>
      </c>
      <c r="I238" t="str">
        <f>"186,00 EUR"</f>
        <v>186,00 EUR</v>
      </c>
    </row>
    <row r="239" spans="1:9" x14ac:dyDescent="0.25">
      <c r="A239" t="str">
        <f>"ZBC1ECA94E"</f>
        <v>ZBC1ECA94E</v>
      </c>
      <c r="B239" t="str">
        <f t="shared" si="71"/>
        <v>AC Ravenna - 00085710390</v>
      </c>
      <c r="C239" t="str">
        <f>"RECAPITO SOCI"</f>
        <v>RECAPITO SOCI</v>
      </c>
      <c r="D239" t="str">
        <f t="shared" si="65"/>
        <v>23-AFFIDAMENTO DIRETTO</v>
      </c>
      <c r="E239" t="str">
        <f t="shared" ref="E239:F241" si="72">"FUTURFIL SRL - 02471780391"</f>
        <v>FUTURFIL SRL - 02471780391</v>
      </c>
      <c r="F239" t="str">
        <f t="shared" si="72"/>
        <v>FUTURFIL SRL - 02471780391</v>
      </c>
      <c r="G239" t="str">
        <f>"99,00 EUR"</f>
        <v>99,00 EUR</v>
      </c>
      <c r="H239" t="str">
        <f t="shared" si="70"/>
        <v>29/05/2017 - 31/05/2017</v>
      </c>
      <c r="I239" t="str">
        <f>"99,00 EUR"</f>
        <v>99,00 EUR</v>
      </c>
    </row>
    <row r="240" spans="1:9" x14ac:dyDescent="0.25">
      <c r="A240" t="str">
        <f>"Z9B1ECA93C"</f>
        <v>Z9B1ECA93C</v>
      </c>
      <c r="B240" t="str">
        <f t="shared" si="71"/>
        <v>AC Ravenna - 00085710390</v>
      </c>
      <c r="C240" t="str">
        <f>"RECAPITO PATENTI"</f>
        <v>RECAPITO PATENTI</v>
      </c>
      <c r="D240" t="str">
        <f t="shared" si="65"/>
        <v>23-AFFIDAMENTO DIRETTO</v>
      </c>
      <c r="E240" t="str">
        <f t="shared" si="72"/>
        <v>FUTURFIL SRL - 02471780391</v>
      </c>
      <c r="F240" t="str">
        <f t="shared" si="72"/>
        <v>FUTURFIL SRL - 02471780391</v>
      </c>
      <c r="G240" t="str">
        <f>"273,00 EUR"</f>
        <v>273,00 EUR</v>
      </c>
      <c r="H240" t="str">
        <f t="shared" si="70"/>
        <v>29/05/2017 - 31/05/2017</v>
      </c>
      <c r="I240" t="str">
        <f>"273,00 EUR"</f>
        <v>273,00 EUR</v>
      </c>
    </row>
    <row r="241" spans="1:9" x14ac:dyDescent="0.25">
      <c r="A241" t="str">
        <f>"Z321ECA95E"</f>
        <v>Z321ECA95E</v>
      </c>
      <c r="B241" t="str">
        <f t="shared" si="71"/>
        <v>AC Ravenna - 00085710390</v>
      </c>
      <c r="C241" t="str">
        <f>"RECAPITO BOLSE"</f>
        <v>RECAPITO BOLSE</v>
      </c>
      <c r="D241" t="str">
        <f t="shared" si="65"/>
        <v>23-AFFIDAMENTO DIRETTO</v>
      </c>
      <c r="E241" t="str">
        <f t="shared" si="72"/>
        <v>FUTURFIL SRL - 02471780391</v>
      </c>
      <c r="F241" t="str">
        <f t="shared" si="72"/>
        <v>FUTURFIL SRL - 02471780391</v>
      </c>
      <c r="G241" t="str">
        <f>"244,00 EUR"</f>
        <v>244,00 EUR</v>
      </c>
      <c r="H241" t="str">
        <f t="shared" si="70"/>
        <v>29/05/2017 - 31/05/2017</v>
      </c>
      <c r="I241" t="str">
        <f>"244,00 EUR"</f>
        <v>244,00 EUR</v>
      </c>
    </row>
    <row r="242" spans="1:9" x14ac:dyDescent="0.25">
      <c r="A242" t="str">
        <f>"ZB31EC0A01"</f>
        <v>ZB31EC0A01</v>
      </c>
      <c r="B242" t="str">
        <f t="shared" si="71"/>
        <v>AC Ravenna - 00085710390</v>
      </c>
      <c r="C242" t="str">
        <f>"ACQUISTO SOFTWARE"</f>
        <v>ACQUISTO SOFTWARE</v>
      </c>
      <c r="D242" t="str">
        <f t="shared" si="65"/>
        <v>23-AFFIDAMENTO DIRETTO</v>
      </c>
      <c r="E242" t="str">
        <f>"HARVARD GROUP S.r.l. - 02254110402"</f>
        <v>HARVARD GROUP S.r.l. - 02254110402</v>
      </c>
      <c r="F242" t="str">
        <f>"HARVARD GROUP S.r.l. - 02254110402"</f>
        <v>HARVARD GROUP S.r.l. - 02254110402</v>
      </c>
      <c r="G242" t="str">
        <f>"291,00 EUR"</f>
        <v>291,00 EUR</v>
      </c>
      <c r="H242" t="str">
        <f>"24/05/2017 - 31/05/2017"</f>
        <v>24/05/2017 - 31/05/2017</v>
      </c>
      <c r="I242" t="str">
        <f>"291,00 EUR"</f>
        <v>291,00 EUR</v>
      </c>
    </row>
    <row r="243" spans="1:9" x14ac:dyDescent="0.25">
      <c r="A243" t="str">
        <f>"Z231EB765C"</f>
        <v>Z231EB765C</v>
      </c>
      <c r="B243" t="str">
        <f t="shared" si="71"/>
        <v>AC Ravenna - 00085710390</v>
      </c>
      <c r="C243" t="str">
        <f>"INSERZIONE PAGINE GIALLE"</f>
        <v>INSERZIONE PAGINE GIALLE</v>
      </c>
      <c r="D243" t="str">
        <f t="shared" si="65"/>
        <v>23-AFFIDAMENTO DIRETTO</v>
      </c>
      <c r="E243" t="str">
        <f>"ITALIA ON LINE SRL - 11120300154"</f>
        <v>ITALIA ON LINE SRL - 11120300154</v>
      </c>
      <c r="F243" t="str">
        <f>"ITALIA ON LINE SRL - 11120300154"</f>
        <v>ITALIA ON LINE SRL - 11120300154</v>
      </c>
      <c r="G243" t="str">
        <f>"927,00 EUR"</f>
        <v>927,00 EUR</v>
      </c>
      <c r="H243" t="str">
        <f>"23/05/2017 - 31/05/2017"</f>
        <v>23/05/2017 - 31/05/2017</v>
      </c>
      <c r="I243" t="str">
        <f>"927,00 EUR"</f>
        <v>927,00 EUR</v>
      </c>
    </row>
    <row r="244" spans="1:9" x14ac:dyDescent="0.25">
      <c r="A244" t="str">
        <f>"Z3D1E80EDE"</f>
        <v>Z3D1E80EDE</v>
      </c>
      <c r="B244" t="str">
        <f t="shared" si="71"/>
        <v>AC Ravenna - 00085710390</v>
      </c>
      <c r="C244" t="str">
        <f>"NOLEGGIO CAMION VELA"</f>
        <v>NOLEGGIO CAMION VELA</v>
      </c>
      <c r="D244" t="str">
        <f t="shared" si="65"/>
        <v>23-AFFIDAMENTO DIRETTO</v>
      </c>
      <c r="E244" t="str">
        <f>"CARTS AUTOMOBILI SRL - 02357080395"</f>
        <v>CARTS AUTOMOBILI SRL - 02357080395</v>
      </c>
      <c r="F244" t="str">
        <f>"CARTS AUTOMOBILI SRL - 02357080395"</f>
        <v>CARTS AUTOMOBILI SRL - 02357080395</v>
      </c>
      <c r="G244" t="str">
        <f>"1.612,00 EUR"</f>
        <v>1.612,00 EUR</v>
      </c>
      <c r="H244" t="str">
        <f>"08/05/2017 - 31/05/2017"</f>
        <v>08/05/2017 - 31/05/2017</v>
      </c>
      <c r="I244" t="str">
        <f>"1.612,00 EUR"</f>
        <v>1.612,00 EUR</v>
      </c>
    </row>
    <row r="245" spans="1:9" x14ac:dyDescent="0.25">
      <c r="A245" t="str">
        <f>"Z051E8AF47"</f>
        <v>Z051E8AF47</v>
      </c>
      <c r="B245" t="str">
        <f t="shared" si="71"/>
        <v>AC Ravenna - 00085710390</v>
      </c>
      <c r="C245" t="str">
        <f>"SERVIZIO SUPPORTO AL RUP"</f>
        <v>SERVIZIO SUPPORTO AL RUP</v>
      </c>
      <c r="D245" t="str">
        <f t="shared" si="65"/>
        <v>23-AFFIDAMENTO DIRETTO</v>
      </c>
      <c r="E245" t="str">
        <f>"AVV.BARCHIELLI FRANCESCO - BRCFNC73R12H901H"</f>
        <v>AVV.BARCHIELLI FRANCESCO - BRCFNC73R12H901H</v>
      </c>
      <c r="F245" t="str">
        <f>"AVV.BARCHIELLI FRANCESCO - BRCFNC73R12H901H"</f>
        <v>AVV.BARCHIELLI FRANCESCO - BRCFNC73R12H901H</v>
      </c>
      <c r="G245" t="str">
        <f>"3.000,00 EUR"</f>
        <v>3.000,00 EUR</v>
      </c>
      <c r="H245" t="str">
        <f>"10/05/2017 - 31/12/2017"</f>
        <v>10/05/2017 - 31/12/2017</v>
      </c>
      <c r="I245" t="str">
        <f>"3.000,00 EUR"</f>
        <v>3.000,00 EUR</v>
      </c>
    </row>
    <row r="246" spans="1:9" x14ac:dyDescent="0.25">
      <c r="A246" t="str">
        <f>"Z9A1E792E7"</f>
        <v>Z9A1E792E7</v>
      </c>
      <c r="B246" t="str">
        <f t="shared" si="71"/>
        <v>AC Ravenna - 00085710390</v>
      </c>
      <c r="C246" t="str">
        <f>"RECAPITO SOCI"</f>
        <v>RECAPITO SOCI</v>
      </c>
      <c r="D246" t="str">
        <f t="shared" si="65"/>
        <v>23-AFFIDAMENTO DIRETTO</v>
      </c>
      <c r="E246" t="str">
        <f t="shared" ref="E246:F248" si="73">"FUTURFIL SRL - 02471780391"</f>
        <v>FUTURFIL SRL - 02471780391</v>
      </c>
      <c r="F246" t="str">
        <f t="shared" si="73"/>
        <v>FUTURFIL SRL - 02471780391</v>
      </c>
      <c r="G246" t="str">
        <f>"140,00 EUR"</f>
        <v>140,00 EUR</v>
      </c>
      <c r="H246" t="str">
        <f t="shared" ref="H246:H253" si="74">"05/05/2017 - 31/05/2017"</f>
        <v>05/05/2017 - 31/05/2017</v>
      </c>
      <c r="I246" t="str">
        <f>"140,00 EUR"</f>
        <v>140,00 EUR</v>
      </c>
    </row>
    <row r="247" spans="1:9" x14ac:dyDescent="0.25">
      <c r="A247" t="str">
        <f>"Z4E1E79302"</f>
        <v>Z4E1E79302</v>
      </c>
      <c r="B247" t="str">
        <f t="shared" si="71"/>
        <v>AC Ravenna - 00085710390</v>
      </c>
      <c r="C247" t="str">
        <f>"RECAPITO PATENTI"</f>
        <v>RECAPITO PATENTI</v>
      </c>
      <c r="D247" t="str">
        <f t="shared" si="65"/>
        <v>23-AFFIDAMENTO DIRETTO</v>
      </c>
      <c r="E247" t="str">
        <f t="shared" si="73"/>
        <v>FUTURFIL SRL - 02471780391</v>
      </c>
      <c r="F247" t="str">
        <f t="shared" si="73"/>
        <v>FUTURFIL SRL - 02471780391</v>
      </c>
      <c r="G247" t="str">
        <f>"297,00 EUR"</f>
        <v>297,00 EUR</v>
      </c>
      <c r="H247" t="str">
        <f t="shared" si="74"/>
        <v>05/05/2017 - 31/05/2017</v>
      </c>
      <c r="I247" t="str">
        <f>"297,00 EUR"</f>
        <v>297,00 EUR</v>
      </c>
    </row>
    <row r="248" spans="1:9" x14ac:dyDescent="0.25">
      <c r="A248" t="str">
        <f>"Z011E792D8"</f>
        <v>Z011E792D8</v>
      </c>
      <c r="B248" t="str">
        <f t="shared" si="71"/>
        <v>AC Ravenna - 00085710390</v>
      </c>
      <c r="C248" t="str">
        <f>"RECAPITO BOLSE"</f>
        <v>RECAPITO BOLSE</v>
      </c>
      <c r="D248" t="str">
        <f t="shared" si="65"/>
        <v>23-AFFIDAMENTO DIRETTO</v>
      </c>
      <c r="E248" t="str">
        <f t="shared" si="73"/>
        <v>FUTURFIL SRL - 02471780391</v>
      </c>
      <c r="F248" t="str">
        <f t="shared" si="73"/>
        <v>FUTURFIL SRL - 02471780391</v>
      </c>
      <c r="G248" t="str">
        <f>"818,00 EUR"</f>
        <v>818,00 EUR</v>
      </c>
      <c r="H248" t="str">
        <f t="shared" si="74"/>
        <v>05/05/2017 - 31/05/2017</v>
      </c>
      <c r="I248" t="str">
        <f>"818,00 EUR"</f>
        <v>818,00 EUR</v>
      </c>
    </row>
    <row r="249" spans="1:9" x14ac:dyDescent="0.25">
      <c r="A249" t="str">
        <f>"ZD31E79294"</f>
        <v>ZD31E79294</v>
      </c>
      <c r="B249" t="str">
        <f t="shared" si="71"/>
        <v>AC Ravenna - 00085710390</v>
      </c>
      <c r="C249" t="str">
        <f>"SERVIZIO ELAB.PATENTI"</f>
        <v>SERVIZIO ELAB.PATENTI</v>
      </c>
      <c r="D249" t="str">
        <f t="shared" si="65"/>
        <v>23-AFFIDAMENTO DIRETTO</v>
      </c>
      <c r="E249" t="str">
        <f t="shared" ref="E249:F251" si="75">"GAMMA INDIRIZZI SRL - 01048250391"</f>
        <v>GAMMA INDIRIZZI SRL - 01048250391</v>
      </c>
      <c r="F249" t="str">
        <f t="shared" si="75"/>
        <v>GAMMA INDIRIZZI SRL - 01048250391</v>
      </c>
      <c r="G249" t="str">
        <f>"296,00 EUR"</f>
        <v>296,00 EUR</v>
      </c>
      <c r="H249" t="str">
        <f t="shared" si="74"/>
        <v>05/05/2017 - 31/05/2017</v>
      </c>
      <c r="I249" t="str">
        <f>"296,00 EUR"</f>
        <v>296,00 EUR</v>
      </c>
    </row>
    <row r="250" spans="1:9" x14ac:dyDescent="0.25">
      <c r="A250" t="str">
        <f>"Z571E7927E"</f>
        <v>Z571E7927E</v>
      </c>
      <c r="B250" t="str">
        <f t="shared" si="71"/>
        <v>AC Ravenna - 00085710390</v>
      </c>
      <c r="C250" t="str">
        <f>"SERVIZIO ELAB.SOCI"</f>
        <v>SERVIZIO ELAB.SOCI</v>
      </c>
      <c r="D250" t="str">
        <f t="shared" si="65"/>
        <v>23-AFFIDAMENTO DIRETTO</v>
      </c>
      <c r="E250" t="str">
        <f t="shared" si="75"/>
        <v>GAMMA INDIRIZZI SRL - 01048250391</v>
      </c>
      <c r="F250" t="str">
        <f t="shared" si="75"/>
        <v>GAMMA INDIRIZZI SRL - 01048250391</v>
      </c>
      <c r="G250" t="str">
        <f>"102,00 EUR"</f>
        <v>102,00 EUR</v>
      </c>
      <c r="H250" t="str">
        <f t="shared" si="74"/>
        <v>05/05/2017 - 31/05/2017</v>
      </c>
      <c r="I250" t="str">
        <f>"102,00 EUR"</f>
        <v>102,00 EUR</v>
      </c>
    </row>
    <row r="251" spans="1:9" x14ac:dyDescent="0.25">
      <c r="A251" t="str">
        <f>"Z5E1E7926B"</f>
        <v>Z5E1E7926B</v>
      </c>
      <c r="B251" t="str">
        <f t="shared" si="71"/>
        <v>AC Ravenna - 00085710390</v>
      </c>
      <c r="C251" t="str">
        <f>"SERVIZIO ELAB.BOLSE"</f>
        <v>SERVIZIO ELAB.BOLSE</v>
      </c>
      <c r="D251" t="str">
        <f t="shared" si="65"/>
        <v>23-AFFIDAMENTO DIRETTO</v>
      </c>
      <c r="E251" t="str">
        <f t="shared" si="75"/>
        <v>GAMMA INDIRIZZI SRL - 01048250391</v>
      </c>
      <c r="F251" t="str">
        <f t="shared" si="75"/>
        <v>GAMMA INDIRIZZI SRL - 01048250391</v>
      </c>
      <c r="G251" t="str">
        <f>"552,00 EUR"</f>
        <v>552,00 EUR</v>
      </c>
      <c r="H251" t="str">
        <f t="shared" si="74"/>
        <v>05/05/2017 - 31/05/2017</v>
      </c>
      <c r="I251" t="str">
        <f>"552,00 EUR"</f>
        <v>552,00 EUR</v>
      </c>
    </row>
    <row r="252" spans="1:9" x14ac:dyDescent="0.25">
      <c r="A252" t="str">
        <f>"Z091E79114"</f>
        <v>Z091E79114</v>
      </c>
      <c r="B252" t="str">
        <f t="shared" si="71"/>
        <v>AC Ravenna - 00085710390</v>
      </c>
      <c r="C252" t="str">
        <f>"SPONSORIZZAZIONE TAPPA MILLE MIGLIA"</f>
        <v>SPONSORIZZAZIONE TAPPA MILLE MIGLIA</v>
      </c>
      <c r="D252" t="str">
        <f t="shared" ref="D252:D265" si="76">"23-AFFIDAMENTO DIRETTO"</f>
        <v>23-AFFIDAMENTO DIRETTO</v>
      </c>
      <c r="E252" t="str">
        <f>"ABC SRL - 02027790399"</f>
        <v>ABC SRL - 02027790399</v>
      </c>
      <c r="F252" t="str">
        <f>"ABC SRL - 02027790399"</f>
        <v>ABC SRL - 02027790399</v>
      </c>
      <c r="G252" t="str">
        <f>"1.000,00 EUR"</f>
        <v>1.000,00 EUR</v>
      </c>
      <c r="H252" t="str">
        <f t="shared" si="74"/>
        <v>05/05/2017 - 31/05/2017</v>
      </c>
      <c r="I252" t="str">
        <f>"1.000,00 EUR"</f>
        <v>1.000,00 EUR</v>
      </c>
    </row>
    <row r="253" spans="1:9" x14ac:dyDescent="0.25">
      <c r="A253" t="str">
        <f>"Z4C1E75B90"</f>
        <v>Z4C1E75B90</v>
      </c>
      <c r="B253" t="str">
        <f t="shared" si="71"/>
        <v>AC Ravenna - 00085710390</v>
      </c>
      <c r="C253" t="str">
        <f>"ACQUISTO SOFTWARE"</f>
        <v>ACQUISTO SOFTWARE</v>
      </c>
      <c r="D253" t="str">
        <f t="shared" si="76"/>
        <v>23-AFFIDAMENTO DIRETTO</v>
      </c>
      <c r="E253" t="str">
        <f>"HARVARD GROUP S.r.l. - 02254110402"</f>
        <v>HARVARD GROUP S.r.l. - 02254110402</v>
      </c>
      <c r="F253" t="str">
        <f>"HARVARD GROUP S.r.l. - 02254110402"</f>
        <v>HARVARD GROUP S.r.l. - 02254110402</v>
      </c>
      <c r="G253" t="str">
        <f>"1.335,00 EUR"</f>
        <v>1.335,00 EUR</v>
      </c>
      <c r="H253" t="str">
        <f t="shared" si="74"/>
        <v>05/05/2017 - 31/05/2017</v>
      </c>
      <c r="I253" t="str">
        <f>"1.335,00 EUR"</f>
        <v>1.335,00 EUR</v>
      </c>
    </row>
    <row r="254" spans="1:9" x14ac:dyDescent="0.25">
      <c r="A254" t="str">
        <f>"Z531E73A27"</f>
        <v>Z531E73A27</v>
      </c>
      <c r="B254" t="str">
        <f t="shared" si="71"/>
        <v>AC Ravenna - 00085710390</v>
      </c>
      <c r="C254" t="str">
        <f>"STAMPATI UFF.A.A."</f>
        <v>STAMPATI UFF.A.A.</v>
      </c>
      <c r="D254" t="str">
        <f t="shared" si="76"/>
        <v>23-AFFIDAMENTO DIRETTO</v>
      </c>
      <c r="E254" t="str">
        <f>"TIPOLITOGRAFIA MAZZANTI S.r.l. - 02091850392"</f>
        <v>TIPOLITOGRAFIA MAZZANTI S.r.l. - 02091850392</v>
      </c>
      <c r="F254" t="str">
        <f>"TIPOLITOGRAFIA MAZZANTI S.r.l. - 02091850392"</f>
        <v>TIPOLITOGRAFIA MAZZANTI S.r.l. - 02091850392</v>
      </c>
      <c r="G254" t="str">
        <f>"45,00 EUR"</f>
        <v>45,00 EUR</v>
      </c>
      <c r="H254" t="str">
        <f>"04/05/2017 - 31/05/2017"</f>
        <v>04/05/2017 - 31/05/2017</v>
      </c>
      <c r="I254" t="str">
        <f>"45,00 EUR"</f>
        <v>45,00 EUR</v>
      </c>
    </row>
    <row r="255" spans="1:9" x14ac:dyDescent="0.25">
      <c r="A255" t="str">
        <f>"Z191E73A35"</f>
        <v>Z191E73A35</v>
      </c>
      <c r="B255" t="str">
        <f t="shared" si="71"/>
        <v>AC Ravenna - 00085710390</v>
      </c>
      <c r="C255" t="str">
        <f>"MODULISTICA UFF.A.A."</f>
        <v>MODULISTICA UFF.A.A.</v>
      </c>
      <c r="D255" t="str">
        <f t="shared" si="76"/>
        <v>23-AFFIDAMENTO DIRETTO</v>
      </c>
      <c r="E255" t="str">
        <f>"TIPOLITOGRAFIA MAZZANTI S.r.l. - 02091850392"</f>
        <v>TIPOLITOGRAFIA MAZZANTI S.r.l. - 02091850392</v>
      </c>
      <c r="F255" t="str">
        <f>"TIPOLITOGRAFIA MAZZANTI S.r.l. - 02091850392"</f>
        <v>TIPOLITOGRAFIA MAZZANTI S.r.l. - 02091850392</v>
      </c>
      <c r="G255" t="str">
        <f>"630,00 EUR"</f>
        <v>630,00 EUR</v>
      </c>
      <c r="H255" t="str">
        <f>"04/05/2017 - 31/05/2017"</f>
        <v>04/05/2017 - 31/05/2017</v>
      </c>
      <c r="I255" t="str">
        <f>"630,00 EUR"</f>
        <v>630,00 EUR</v>
      </c>
    </row>
    <row r="256" spans="1:9" x14ac:dyDescent="0.25">
      <c r="A256" t="str">
        <f>"ZA41E5F1F5"</f>
        <v>ZA41E5F1F5</v>
      </c>
      <c r="B256" t="str">
        <f t="shared" si="71"/>
        <v>AC Ravenna - 00085710390</v>
      </c>
      <c r="C256" t="str">
        <f>"PULIZIE SEDE"</f>
        <v>PULIZIE SEDE</v>
      </c>
      <c r="D256" t="str">
        <f t="shared" si="76"/>
        <v>23-AFFIDAMENTO DIRETTO</v>
      </c>
      <c r="E256" t="str">
        <f>"CENTRO IGIENE S.r.l. - 02368400392"</f>
        <v>CENTRO IGIENE S.r.l. - 02368400392</v>
      </c>
      <c r="F256" t="str">
        <f>"CENTRO IGIENE S.r.l. - 02368400392"</f>
        <v>CENTRO IGIENE S.r.l. - 02368400392</v>
      </c>
      <c r="G256" t="str">
        <f>"1.375,00 EUR"</f>
        <v>1.375,00 EUR</v>
      </c>
      <c r="H256" t="str">
        <f>"27/04/2017 - 30/04/2017"</f>
        <v>27/04/2017 - 30/04/2017</v>
      </c>
      <c r="I256" t="str">
        <f>"1.375,00 EUR"</f>
        <v>1.375,00 EUR</v>
      </c>
    </row>
    <row r="257" spans="1:9" x14ac:dyDescent="0.25">
      <c r="A257" t="str">
        <f>"ZB71E19471"</f>
        <v>ZB71E19471</v>
      </c>
      <c r="B257" t="str">
        <f t="shared" si="71"/>
        <v>AC Ravenna - 00085710390</v>
      </c>
      <c r="C257" t="str">
        <f>"INSERZIONE CONV.ASSEMBLEA SOCI"</f>
        <v>INSERZIONE CONV.ASSEMBLEA SOCI</v>
      </c>
      <c r="D257" t="str">
        <f t="shared" si="76"/>
        <v>23-AFFIDAMENTO DIRETTO</v>
      </c>
      <c r="E257" t="str">
        <f>"SPE SPA - 00326930377"</f>
        <v>SPE SPA - 00326930377</v>
      </c>
      <c r="F257" t="str">
        <f>"SPE SPA - 00326930377"</f>
        <v>SPE SPA - 00326930377</v>
      </c>
      <c r="G257" t="str">
        <f>"580,00 EUR"</f>
        <v>580,00 EUR</v>
      </c>
      <c r="H257" t="str">
        <f>"03/04/2017 - 30/04/2017"</f>
        <v>03/04/2017 - 30/04/2017</v>
      </c>
      <c r="I257" t="str">
        <f>"580,00 EUR"</f>
        <v>580,00 EUR</v>
      </c>
    </row>
    <row r="258" spans="1:9" x14ac:dyDescent="0.25">
      <c r="A258" t="str">
        <f>"Z3E1E0FF27"</f>
        <v>Z3E1E0FF27</v>
      </c>
      <c r="B258" t="str">
        <f t="shared" si="71"/>
        <v>AC Ravenna - 00085710390</v>
      </c>
      <c r="C258" t="str">
        <f>"PULIZIE LOCALI"</f>
        <v>PULIZIE LOCALI</v>
      </c>
      <c r="D258" t="str">
        <f t="shared" si="76"/>
        <v>23-AFFIDAMENTO DIRETTO</v>
      </c>
      <c r="E258" t="str">
        <f>"CENTRO IGIENE S.r.l. - 02368400392"</f>
        <v>CENTRO IGIENE S.r.l. - 02368400392</v>
      </c>
      <c r="F258" t="str">
        <f>"CENTRO IGIENE S.r.l. - 02368400392"</f>
        <v>CENTRO IGIENE S.r.l. - 02368400392</v>
      </c>
      <c r="G258" t="str">
        <f>"1.375,00 EUR"</f>
        <v>1.375,00 EUR</v>
      </c>
      <c r="H258" t="str">
        <f>"31/03/2017 - 31/03/2017"</f>
        <v>31/03/2017 - 31/03/2017</v>
      </c>
      <c r="I258" t="str">
        <f>"1.375,00 EUR"</f>
        <v>1.375,00 EUR</v>
      </c>
    </row>
    <row r="259" spans="1:9" x14ac:dyDescent="0.25">
      <c r="A259" t="str">
        <f>"ZC61DFE041"</f>
        <v>ZC61DFE041</v>
      </c>
      <c r="B259" t="str">
        <f t="shared" si="71"/>
        <v>AC Ravenna - 00085710390</v>
      </c>
      <c r="C259" t="str">
        <f>"SERVIZIO ELAB.BOLSE"</f>
        <v>SERVIZIO ELAB.BOLSE</v>
      </c>
      <c r="D259" t="str">
        <f t="shared" si="76"/>
        <v>23-AFFIDAMENTO DIRETTO</v>
      </c>
      <c r="E259" t="str">
        <f t="shared" ref="E259:F261" si="77">"GAMMA INDIRIZZI SRL - 01048250391"</f>
        <v>GAMMA INDIRIZZI SRL - 01048250391</v>
      </c>
      <c r="F259" t="str">
        <f t="shared" si="77"/>
        <v>GAMMA INDIRIZZI SRL - 01048250391</v>
      </c>
      <c r="G259" t="str">
        <f>"392,00 EUR"</f>
        <v>392,00 EUR</v>
      </c>
      <c r="H259" t="str">
        <f t="shared" ref="H259:H264" si="78">"27/03/2017 - 31/03/2017"</f>
        <v>27/03/2017 - 31/03/2017</v>
      </c>
      <c r="I259" t="str">
        <f>"392,00 EUR"</f>
        <v>392,00 EUR</v>
      </c>
    </row>
    <row r="260" spans="1:9" x14ac:dyDescent="0.25">
      <c r="A260" t="str">
        <f>"Z831DFE0D3"</f>
        <v>Z831DFE0D3</v>
      </c>
      <c r="B260" t="str">
        <f t="shared" si="71"/>
        <v>AC Ravenna - 00085710390</v>
      </c>
      <c r="C260" t="str">
        <f>"SERVIZIO ELAB.SOCI"</f>
        <v>SERVIZIO ELAB.SOCI</v>
      </c>
      <c r="D260" t="str">
        <f t="shared" si="76"/>
        <v>23-AFFIDAMENTO DIRETTO</v>
      </c>
      <c r="E260" t="str">
        <f t="shared" si="77"/>
        <v>GAMMA INDIRIZZI SRL - 01048250391</v>
      </c>
      <c r="F260" t="str">
        <f t="shared" si="77"/>
        <v>GAMMA INDIRIZZI SRL - 01048250391</v>
      </c>
      <c r="G260" t="str">
        <f>"130,00 EUR"</f>
        <v>130,00 EUR</v>
      </c>
      <c r="H260" t="str">
        <f t="shared" si="78"/>
        <v>27/03/2017 - 31/03/2017</v>
      </c>
      <c r="I260" t="str">
        <f>"130,00 EUR"</f>
        <v>130,00 EUR</v>
      </c>
    </row>
    <row r="261" spans="1:9" x14ac:dyDescent="0.25">
      <c r="A261" t="str">
        <f>"Z3B1DFE107"</f>
        <v>Z3B1DFE107</v>
      </c>
      <c r="B261" t="str">
        <f t="shared" si="71"/>
        <v>AC Ravenna - 00085710390</v>
      </c>
      <c r="C261" t="str">
        <f>"SERVIZIO ELAB PATENTI"</f>
        <v>SERVIZIO ELAB PATENTI</v>
      </c>
      <c r="D261" t="str">
        <f t="shared" si="76"/>
        <v>23-AFFIDAMENTO DIRETTO</v>
      </c>
      <c r="E261" t="str">
        <f t="shared" si="77"/>
        <v>GAMMA INDIRIZZI SRL - 01048250391</v>
      </c>
      <c r="F261" t="str">
        <f t="shared" si="77"/>
        <v>GAMMA INDIRIZZI SRL - 01048250391</v>
      </c>
      <c r="G261" t="str">
        <f>"73,00 EUR"</f>
        <v>73,00 EUR</v>
      </c>
      <c r="H261" t="str">
        <f t="shared" si="78"/>
        <v>27/03/2017 - 31/03/2017</v>
      </c>
      <c r="I261" t="str">
        <f>"73,00 EUR"</f>
        <v>73,00 EUR</v>
      </c>
    </row>
    <row r="262" spans="1:9" x14ac:dyDescent="0.25">
      <c r="A262" t="str">
        <f>"Z0C1DFE40C"</f>
        <v>Z0C1DFE40C</v>
      </c>
      <c r="B262" t="str">
        <f t="shared" si="71"/>
        <v>AC Ravenna - 00085710390</v>
      </c>
      <c r="C262" t="str">
        <f>"SERVIZIO PATENTI"</f>
        <v>SERVIZIO PATENTI</v>
      </c>
      <c r="D262" t="str">
        <f t="shared" si="76"/>
        <v>23-AFFIDAMENTO DIRETTO</v>
      </c>
      <c r="E262" t="str">
        <f t="shared" ref="E262:F264" si="79">"FUTURFIL SRL - 02471780391"</f>
        <v>FUTURFIL SRL - 02471780391</v>
      </c>
      <c r="F262" t="str">
        <f t="shared" si="79"/>
        <v>FUTURFIL SRL - 02471780391</v>
      </c>
      <c r="G262" t="str">
        <f>"280,00 EUR"</f>
        <v>280,00 EUR</v>
      </c>
      <c r="H262" t="str">
        <f t="shared" si="78"/>
        <v>27/03/2017 - 31/03/2017</v>
      </c>
      <c r="I262" t="str">
        <f>"280,00 EUR"</f>
        <v>280,00 EUR</v>
      </c>
    </row>
    <row r="263" spans="1:9" x14ac:dyDescent="0.25">
      <c r="A263" t="str">
        <f>"Z0B1DFE3C7"</f>
        <v>Z0B1DFE3C7</v>
      </c>
      <c r="B263" t="str">
        <f t="shared" si="71"/>
        <v>AC Ravenna - 00085710390</v>
      </c>
      <c r="C263" t="str">
        <f>"SERVIZIO SOCI"</f>
        <v>SERVIZIO SOCI</v>
      </c>
      <c r="D263" t="str">
        <f t="shared" si="76"/>
        <v>23-AFFIDAMENTO DIRETTO</v>
      </c>
      <c r="E263" t="str">
        <f t="shared" si="79"/>
        <v>FUTURFIL SRL - 02471780391</v>
      </c>
      <c r="F263" t="str">
        <f t="shared" si="79"/>
        <v>FUTURFIL SRL - 02471780391</v>
      </c>
      <c r="G263" t="str">
        <f>"182,00 EUR"</f>
        <v>182,00 EUR</v>
      </c>
      <c r="H263" t="str">
        <f t="shared" si="78"/>
        <v>27/03/2017 - 31/03/2017</v>
      </c>
      <c r="I263" t="str">
        <f>"182,00 EUR"</f>
        <v>182,00 EUR</v>
      </c>
    </row>
    <row r="264" spans="1:9" x14ac:dyDescent="0.25">
      <c r="A264" t="str">
        <f>"ZA11DFE307"</f>
        <v>ZA11DFE307</v>
      </c>
      <c r="B264" t="str">
        <f t="shared" si="71"/>
        <v>AC Ravenna - 00085710390</v>
      </c>
      <c r="C264" t="str">
        <f>"SERVIZIO BOLSE"</f>
        <v>SERVIZIO BOLSE</v>
      </c>
      <c r="D264" t="str">
        <f t="shared" si="76"/>
        <v>23-AFFIDAMENTO DIRETTO</v>
      </c>
      <c r="E264" t="str">
        <f t="shared" si="79"/>
        <v>FUTURFIL SRL - 02471780391</v>
      </c>
      <c r="F264" t="str">
        <f t="shared" si="79"/>
        <v>FUTURFIL SRL - 02471780391</v>
      </c>
      <c r="G264" t="str">
        <f>"565,00 EUR"</f>
        <v>565,00 EUR</v>
      </c>
      <c r="H264" t="str">
        <f t="shared" si="78"/>
        <v>27/03/2017 - 31/03/2017</v>
      </c>
      <c r="I264" t="str">
        <f>"565,00 EUR"</f>
        <v>565,00 EUR</v>
      </c>
    </row>
    <row r="265" spans="1:9" x14ac:dyDescent="0.25">
      <c r="A265" t="str">
        <f>"Z181DE97F6"</f>
        <v>Z181DE97F6</v>
      </c>
      <c r="B265" t="str">
        <f t="shared" si="71"/>
        <v>AC Ravenna - 00085710390</v>
      </c>
      <c r="C265" t="str">
        <f>"MANUTENZIONE IMPIANTI"</f>
        <v>MANUTENZIONE IMPIANTI</v>
      </c>
      <c r="D265" t="str">
        <f t="shared" si="76"/>
        <v>23-AFFIDAMENTO DIRETTO</v>
      </c>
      <c r="E265" t="str">
        <f>"ECIS ELETTRONICA SAS - 01400920391"</f>
        <v>ECIS ELETTRONICA SAS - 01400920391</v>
      </c>
      <c r="F265" t="str">
        <f>"ECIS ELETTRONICA SAS - 01400920391"</f>
        <v>ECIS ELETTRONICA SAS - 01400920391</v>
      </c>
      <c r="G265" t="str">
        <f>"60,00 EUR"</f>
        <v>60,00 EUR</v>
      </c>
      <c r="H265" t="str">
        <f>"21/03/2017 - 31/03/2017"</f>
        <v>21/03/2017 - 31/03/2017</v>
      </c>
      <c r="I265" t="str">
        <f>"60,00 EUR"</f>
        <v>60,00 EUR</v>
      </c>
    </row>
    <row r="266" spans="1:9" x14ac:dyDescent="0.25">
      <c r="A266" t="str">
        <f>"Z2A1DE6EBB"</f>
        <v>Z2A1DE6EBB</v>
      </c>
      <c r="B266" t="str">
        <f t="shared" si="71"/>
        <v>AC Ravenna - 00085710390</v>
      </c>
      <c r="C266" t="str">
        <f>"GASOLIO RISCALDAMENTO"</f>
        <v>GASOLIO RISCALDAMENTO</v>
      </c>
      <c r="D266" t="str">
        <f>"26-AFFIDAMENTO DIRETTO IN ADESIONE AD ACCORDO QUADRO/CONVENZIONE"</f>
        <v>26-AFFIDAMENTO DIRETTO IN ADESIONE AD ACCORDO QUADRO/CONVENZIONE</v>
      </c>
      <c r="E266" t="str">
        <f>"Q8 QUASER SRL - 06543251000"</f>
        <v>Q8 QUASER SRL - 06543251000</v>
      </c>
      <c r="F266" t="str">
        <f>"Q8 QUASER SRL - 06543251000"</f>
        <v>Q8 QUASER SRL - 06543251000</v>
      </c>
      <c r="G266" t="str">
        <f>"1.665,00 EUR"</f>
        <v>1.665,00 EUR</v>
      </c>
      <c r="H266" t="str">
        <f>"20/03/2017 - 31/03/2017"</f>
        <v>20/03/2017 - 31/03/2017</v>
      </c>
      <c r="I266" t="str">
        <f>"1.665,00 EUR"</f>
        <v>1.665,00 EUR</v>
      </c>
    </row>
    <row r="267" spans="1:9" x14ac:dyDescent="0.25">
      <c r="A267" t="str">
        <f>"Z6F1DCADA5"</f>
        <v>Z6F1DCADA5</v>
      </c>
      <c r="B267" t="str">
        <f t="shared" si="71"/>
        <v>AC Ravenna - 00085710390</v>
      </c>
      <c r="C267" t="str">
        <f>"SERVIZIO SOCI"</f>
        <v>SERVIZIO SOCI</v>
      </c>
      <c r="D267" t="str">
        <f t="shared" ref="D267:D275" si="80">"23-AFFIDAMENTO DIRETTO"</f>
        <v>23-AFFIDAMENTO DIRETTO</v>
      </c>
      <c r="E267" t="str">
        <f t="shared" ref="E267:F269" si="81">"FUTURFIL SRL - 02471780391"</f>
        <v>FUTURFIL SRL - 02471780391</v>
      </c>
      <c r="F267" t="str">
        <f t="shared" si="81"/>
        <v>FUTURFIL SRL - 02471780391</v>
      </c>
      <c r="G267" t="str">
        <f>"128,00 EUR"</f>
        <v>128,00 EUR</v>
      </c>
      <c r="H267" t="str">
        <f>"13/03/2017 - 31/03/2017"</f>
        <v>13/03/2017 - 31/03/2017</v>
      </c>
      <c r="I267" t="str">
        <f>"128,00 EUR"</f>
        <v>128,00 EUR</v>
      </c>
    </row>
    <row r="268" spans="1:9" x14ac:dyDescent="0.25">
      <c r="A268" t="str">
        <f>"Z3E1DB90D9"</f>
        <v>Z3E1DB90D9</v>
      </c>
      <c r="B268" t="str">
        <f t="shared" si="71"/>
        <v>AC Ravenna - 00085710390</v>
      </c>
      <c r="C268" t="str">
        <f>"RECAPITO PATENTI"</f>
        <v>RECAPITO PATENTI</v>
      </c>
      <c r="D268" t="str">
        <f t="shared" si="80"/>
        <v>23-AFFIDAMENTO DIRETTO</v>
      </c>
      <c r="E268" t="str">
        <f t="shared" si="81"/>
        <v>FUTURFIL SRL - 02471780391</v>
      </c>
      <c r="F268" t="str">
        <f t="shared" si="81"/>
        <v>FUTURFIL SRL - 02471780391</v>
      </c>
      <c r="G268" t="str">
        <f>"345,00 EUR"</f>
        <v>345,00 EUR</v>
      </c>
      <c r="H268" t="str">
        <f>"08/03/2017 - 08/03/2017"</f>
        <v>08/03/2017 - 08/03/2017</v>
      </c>
      <c r="I268" t="str">
        <f>"345,00 EUR"</f>
        <v>345,00 EUR</v>
      </c>
    </row>
    <row r="269" spans="1:9" x14ac:dyDescent="0.25">
      <c r="A269" t="str">
        <f>"Z121DCAD17"</f>
        <v>Z121DCAD17</v>
      </c>
      <c r="B269" t="str">
        <f t="shared" si="71"/>
        <v>AC Ravenna - 00085710390</v>
      </c>
      <c r="C269" t="str">
        <f>"RECAPITO BOLSE"</f>
        <v>RECAPITO BOLSE</v>
      </c>
      <c r="D269" t="str">
        <f t="shared" si="80"/>
        <v>23-AFFIDAMENTO DIRETTO</v>
      </c>
      <c r="E269" t="str">
        <f t="shared" si="81"/>
        <v>FUTURFIL SRL - 02471780391</v>
      </c>
      <c r="F269" t="str">
        <f t="shared" si="81"/>
        <v>FUTURFIL SRL - 02471780391</v>
      </c>
      <c r="G269" t="str">
        <f>"986,00 EUR"</f>
        <v>986,00 EUR</v>
      </c>
      <c r="H269" t="str">
        <f>"13/03/2017 - 31/03/2017"</f>
        <v>13/03/2017 - 31/03/2017</v>
      </c>
      <c r="I269" t="str">
        <f>"986,00 EUR"</f>
        <v>986,00 EUR</v>
      </c>
    </row>
    <row r="270" spans="1:9" x14ac:dyDescent="0.25">
      <c r="A270" t="str">
        <f>"ZDF1DB901F"</f>
        <v>ZDF1DB901F</v>
      </c>
      <c r="B270" t="str">
        <f t="shared" si="71"/>
        <v>AC Ravenna - 00085710390</v>
      </c>
      <c r="C270" t="str">
        <f>"SERVIZIO ELAB.SOCI"</f>
        <v>SERVIZIO ELAB.SOCI</v>
      </c>
      <c r="D270" t="str">
        <f t="shared" si="80"/>
        <v>23-AFFIDAMENTO DIRETTO</v>
      </c>
      <c r="E270" t="str">
        <f t="shared" ref="E270:F272" si="82">"GAMMA INDIRIZZI SRL - 01048250391"</f>
        <v>GAMMA INDIRIZZI SRL - 01048250391</v>
      </c>
      <c r="F270" t="str">
        <f t="shared" si="82"/>
        <v>GAMMA INDIRIZZI SRL - 01048250391</v>
      </c>
      <c r="G270" t="str">
        <f>"98,00 EUR"</f>
        <v>98,00 EUR</v>
      </c>
      <c r="H270" t="str">
        <f>"08/03/2017 - 31/03/2017"</f>
        <v>08/03/2017 - 31/03/2017</v>
      </c>
      <c r="I270" t="str">
        <f>"98,00 EUR"</f>
        <v>98,00 EUR</v>
      </c>
    </row>
    <row r="271" spans="1:9" x14ac:dyDescent="0.25">
      <c r="A271" t="str">
        <f>"ZF21DB9057"</f>
        <v>ZF21DB9057</v>
      </c>
      <c r="B271" t="str">
        <f t="shared" si="71"/>
        <v>AC Ravenna - 00085710390</v>
      </c>
      <c r="C271" t="str">
        <f>"SERVIZIO ELAB.PATENTI"</f>
        <v>SERVIZIO ELAB.PATENTI</v>
      </c>
      <c r="D271" t="str">
        <f t="shared" si="80"/>
        <v>23-AFFIDAMENTO DIRETTO</v>
      </c>
      <c r="E271" t="str">
        <f t="shared" si="82"/>
        <v>GAMMA INDIRIZZI SRL - 01048250391</v>
      </c>
      <c r="F271" t="str">
        <f t="shared" si="82"/>
        <v>GAMMA INDIRIZZI SRL - 01048250391</v>
      </c>
      <c r="G271" t="str">
        <f>"267,00 EUR"</f>
        <v>267,00 EUR</v>
      </c>
      <c r="H271" t="str">
        <f>"08/03/2017 - 31/03/2017"</f>
        <v>08/03/2017 - 31/03/2017</v>
      </c>
      <c r="I271" t="str">
        <f>"267,00 EUR"</f>
        <v>267,00 EUR</v>
      </c>
    </row>
    <row r="272" spans="1:9" x14ac:dyDescent="0.25">
      <c r="A272" t="str">
        <f>"Z611DB8F7F"</f>
        <v>Z611DB8F7F</v>
      </c>
      <c r="B272" t="str">
        <f t="shared" si="71"/>
        <v>AC Ravenna - 00085710390</v>
      </c>
      <c r="C272" t="str">
        <f>"SERVIZIO ELAB.BOLSE"</f>
        <v>SERVIZIO ELAB.BOLSE</v>
      </c>
      <c r="D272" t="str">
        <f t="shared" si="80"/>
        <v>23-AFFIDAMENTO DIRETTO</v>
      </c>
      <c r="E272" t="str">
        <f t="shared" si="82"/>
        <v>GAMMA INDIRIZZI SRL - 01048250391</v>
      </c>
      <c r="F272" t="str">
        <f t="shared" si="82"/>
        <v>GAMMA INDIRIZZI SRL - 01048250391</v>
      </c>
      <c r="G272" t="str">
        <f>"662,00 EUR"</f>
        <v>662,00 EUR</v>
      </c>
      <c r="H272" t="str">
        <f>"08/03/2017 - 31/03/2017"</f>
        <v>08/03/2017 - 31/03/2017</v>
      </c>
      <c r="I272" t="str">
        <f>"662,00 EUR"</f>
        <v>662,00 EUR</v>
      </c>
    </row>
    <row r="273" spans="1:9" x14ac:dyDescent="0.25">
      <c r="A273" t="str">
        <f>"Z0F1DB2DE6"</f>
        <v>Z0F1DB2DE6</v>
      </c>
      <c r="B273" t="str">
        <f t="shared" si="71"/>
        <v>AC Ravenna - 00085710390</v>
      </c>
      <c r="C273" t="str">
        <f>"MODULISTICA UFF.A.A."</f>
        <v>MODULISTICA UFF.A.A.</v>
      </c>
      <c r="D273" t="str">
        <f t="shared" si="80"/>
        <v>23-AFFIDAMENTO DIRETTO</v>
      </c>
      <c r="E273" t="str">
        <f>"SAMORANI S.R.L. - 02705640403"</f>
        <v>SAMORANI S.R.L. - 02705640403</v>
      </c>
      <c r="F273" t="str">
        <f>"SAMORANI S.R.L. - 02705640403"</f>
        <v>SAMORANI S.R.L. - 02705640403</v>
      </c>
      <c r="G273" t="str">
        <f>"240,00 EUR"</f>
        <v>240,00 EUR</v>
      </c>
      <c r="H273" t="str">
        <f>"07/03/2017 - 31/03/2017"</f>
        <v>07/03/2017 - 31/03/2017</v>
      </c>
      <c r="I273" t="str">
        <f>"240,00 EUR"</f>
        <v>240,00 EUR</v>
      </c>
    </row>
    <row r="274" spans="1:9" x14ac:dyDescent="0.25">
      <c r="A274" t="str">
        <f>"Z0C1D90BF3"</f>
        <v>Z0C1D90BF3</v>
      </c>
      <c r="B274" t="str">
        <f t="shared" si="71"/>
        <v>AC Ravenna - 00085710390</v>
      </c>
      <c r="C274" t="str">
        <f>"PULIZIE SEDE"</f>
        <v>PULIZIE SEDE</v>
      </c>
      <c r="D274" t="str">
        <f t="shared" si="80"/>
        <v>23-AFFIDAMENTO DIRETTO</v>
      </c>
      <c r="E274" t="str">
        <f>"CENTRO IGIENE S.r.l. - 02368400392"</f>
        <v>CENTRO IGIENE S.r.l. - 02368400392</v>
      </c>
      <c r="F274" t="str">
        <f>"CENTRO IGIENE S.r.l. - 02368400392"</f>
        <v>CENTRO IGIENE S.r.l. - 02368400392</v>
      </c>
      <c r="G274" t="str">
        <f>"1.375,00 EUR"</f>
        <v>1.375,00 EUR</v>
      </c>
      <c r="H274" t="str">
        <f>"28/02/2017 - 28/02/2017"</f>
        <v>28/02/2017 - 28/02/2017</v>
      </c>
      <c r="I274" t="str">
        <f>"1.375,00 EUR"</f>
        <v>1.375,00 EUR</v>
      </c>
    </row>
    <row r="275" spans="1:9" x14ac:dyDescent="0.25">
      <c r="A275" t="str">
        <f>"ZB71D8EC95"</f>
        <v>ZB71D8EC95</v>
      </c>
      <c r="B275" t="str">
        <f t="shared" si="71"/>
        <v>AC Ravenna - 00085710390</v>
      </c>
      <c r="C275" t="str">
        <f>"MODULISTICA UFF.A.A."</f>
        <v>MODULISTICA UFF.A.A.</v>
      </c>
      <c r="D275" t="str">
        <f t="shared" si="80"/>
        <v>23-AFFIDAMENTO DIRETTO</v>
      </c>
      <c r="E275" t="str">
        <f>"SAMORANI S.R.L. - 02705640403"</f>
        <v>SAMORANI S.R.L. - 02705640403</v>
      </c>
      <c r="F275" t="str">
        <f>"SAMORANI S.R.L. - 02705640403"</f>
        <v>SAMORANI S.R.L. - 02705640403</v>
      </c>
      <c r="G275" t="str">
        <f>"320,00 EUR"</f>
        <v>320,00 EUR</v>
      </c>
      <c r="H275" t="str">
        <f>"27/02/2017 - 27/02/2017"</f>
        <v>27/02/2017 - 27/02/2017</v>
      </c>
      <c r="I275" t="str">
        <f>"320,00 EUR"</f>
        <v>320,00 EUR</v>
      </c>
    </row>
    <row r="276" spans="1:9" x14ac:dyDescent="0.25">
      <c r="A276" t="str">
        <f>"Z7B1D69021"</f>
        <v>Z7B1D69021</v>
      </c>
      <c r="B276" t="str">
        <f t="shared" si="71"/>
        <v>AC Ravenna - 00085710390</v>
      </c>
      <c r="C276" t="str">
        <f>"ACQUISTO ANTIVIRUS"</f>
        <v>ACQUISTO ANTIVIRUS</v>
      </c>
      <c r="D276" t="str">
        <f>"01-PROCEDURA APERTA"</f>
        <v>01-PROCEDURA APERTA</v>
      </c>
      <c r="E276" t="str">
        <f>"DALLA PENNA AL COMPUTER di Ravaioli Stefano - RVLSFN58T21H199V"</f>
        <v>DALLA PENNA AL COMPUTER di Ravaioli Stefano - RVLSFN58T21H199V</v>
      </c>
      <c r="F276" t="str">
        <f>"DALLA PENNA AL COMPUTER di Ravaioli Stefano - RVLSFN58T21H199V"</f>
        <v>DALLA PENNA AL COMPUTER di Ravaioli Stefano - RVLSFN58T21H199V</v>
      </c>
      <c r="G276" t="str">
        <f>"90,00 EUR"</f>
        <v>90,00 EUR</v>
      </c>
      <c r="H276" t="str">
        <f t="shared" ref="H276:H282" si="83">"16/02/2017 - 16/02/2017"</f>
        <v>16/02/2017 - 16/02/2017</v>
      </c>
      <c r="I276" t="str">
        <f>"90,00 EUR"</f>
        <v>90,00 EUR</v>
      </c>
    </row>
    <row r="277" spans="1:9" x14ac:dyDescent="0.25">
      <c r="A277" t="str">
        <f>"Z051D68FB3"</f>
        <v>Z051D68FB3</v>
      </c>
      <c r="B277" t="str">
        <f t="shared" si="71"/>
        <v>AC Ravenna - 00085710390</v>
      </c>
      <c r="C277" t="str">
        <f>"SERVIZIO ELAB.PATENTI"</f>
        <v>SERVIZIO ELAB.PATENTI</v>
      </c>
      <c r="D277" t="str">
        <f>"23-AFFIDAMENTO DIRETTO"</f>
        <v>23-AFFIDAMENTO DIRETTO</v>
      </c>
      <c r="E277" t="str">
        <f t="shared" ref="E277:F279" si="84">"GAMMA INDIRIZZI SRL - 01048250391"</f>
        <v>GAMMA INDIRIZZI SRL - 01048250391</v>
      </c>
      <c r="F277" t="str">
        <f t="shared" si="84"/>
        <v>GAMMA INDIRIZZI SRL - 01048250391</v>
      </c>
      <c r="G277" t="str">
        <f>"202,00 EUR"</f>
        <v>202,00 EUR</v>
      </c>
      <c r="H277" t="str">
        <f t="shared" si="83"/>
        <v>16/02/2017 - 16/02/2017</v>
      </c>
      <c r="I277" t="str">
        <f>"202,00 EUR"</f>
        <v>202,00 EUR</v>
      </c>
    </row>
    <row r="278" spans="1:9" x14ac:dyDescent="0.25">
      <c r="A278" t="str">
        <f>"Z781D68F52"</f>
        <v>Z781D68F52</v>
      </c>
      <c r="B278" t="str">
        <f t="shared" si="71"/>
        <v>AC Ravenna - 00085710390</v>
      </c>
      <c r="C278" t="str">
        <f>"SERVIZIO ELAB.SOCI"</f>
        <v>SERVIZIO ELAB.SOCI</v>
      </c>
      <c r="D278" t="str">
        <f>"23-AFFIDAMENTO DIRETTO"</f>
        <v>23-AFFIDAMENTO DIRETTO</v>
      </c>
      <c r="E278" t="str">
        <f t="shared" si="84"/>
        <v>GAMMA INDIRIZZI SRL - 01048250391</v>
      </c>
      <c r="F278" t="str">
        <f t="shared" si="84"/>
        <v>GAMMA INDIRIZZI SRL - 01048250391</v>
      </c>
      <c r="G278" t="str">
        <f>"106,00 EUR"</f>
        <v>106,00 EUR</v>
      </c>
      <c r="H278" t="str">
        <f t="shared" si="83"/>
        <v>16/02/2017 - 16/02/2017</v>
      </c>
      <c r="I278" t="str">
        <f>"106,00 EUR"</f>
        <v>106,00 EUR</v>
      </c>
    </row>
    <row r="279" spans="1:9" x14ac:dyDescent="0.25">
      <c r="A279" t="str">
        <f>"Z7D1D68EB5"</f>
        <v>Z7D1D68EB5</v>
      </c>
      <c r="B279" t="str">
        <f t="shared" si="71"/>
        <v>AC Ravenna - 00085710390</v>
      </c>
      <c r="C279" t="str">
        <f>"SERVIZIO ELAB. BOLSE"</f>
        <v>SERVIZIO ELAB. BOLSE</v>
      </c>
      <c r="D279" t="str">
        <f>"28-PROCEDURA AI SENSI DEI REGOLAMENTI DEGLI ORGANI COSTITUZIONALI"</f>
        <v>28-PROCEDURA AI SENSI DEI REGOLAMENTI DEGLI ORGANI COSTITUZIONALI</v>
      </c>
      <c r="E279" t="str">
        <f t="shared" si="84"/>
        <v>GAMMA INDIRIZZI SRL - 01048250391</v>
      </c>
      <c r="F279" t="str">
        <f t="shared" si="84"/>
        <v>GAMMA INDIRIZZI SRL - 01048250391</v>
      </c>
      <c r="G279" t="str">
        <f>"401,00 EUR"</f>
        <v>401,00 EUR</v>
      </c>
      <c r="H279" t="str">
        <f t="shared" si="83"/>
        <v>16/02/2017 - 16/02/2017</v>
      </c>
      <c r="I279" t="str">
        <f>"401,00 EUR"</f>
        <v>401,00 EUR</v>
      </c>
    </row>
    <row r="280" spans="1:9" x14ac:dyDescent="0.25">
      <c r="A280" t="str">
        <f>"Z961D68D9A"</f>
        <v>Z961D68D9A</v>
      </c>
      <c r="B280" t="str">
        <f t="shared" si="71"/>
        <v>AC Ravenna - 00085710390</v>
      </c>
      <c r="C280" t="str">
        <f>"RECAPITO PATENTI"</f>
        <v>RECAPITO PATENTI</v>
      </c>
      <c r="D280" t="str">
        <f>"23-AFFIDAMENTO DIRETTO"</f>
        <v>23-AFFIDAMENTO DIRETTO</v>
      </c>
      <c r="E280" t="str">
        <f>"FUTURFIL SRL - 02471780391"</f>
        <v>FUTURFIL SRL - 02471780391</v>
      </c>
      <c r="F280" t="str">
        <f>"FUTURFIL SRL - 02471780391"</f>
        <v>FUTURFIL SRL - 02471780391</v>
      </c>
      <c r="G280" t="str">
        <f>"299,00 EUR"</f>
        <v>299,00 EUR</v>
      </c>
      <c r="H280" t="str">
        <f t="shared" si="83"/>
        <v>16/02/2017 - 16/02/2017</v>
      </c>
      <c r="I280" t="str">
        <f>"299,00 EUR"</f>
        <v>299,00 EUR</v>
      </c>
    </row>
    <row r="281" spans="1:9" x14ac:dyDescent="0.25">
      <c r="A281" t="str">
        <f>"ZA31D68D2F"</f>
        <v>ZA31D68D2F</v>
      </c>
      <c r="B281" t="str">
        <f t="shared" si="71"/>
        <v>AC Ravenna - 00085710390</v>
      </c>
      <c r="C281" t="str">
        <f>"SERVIZIO ELAB. SOCI"</f>
        <v>SERVIZIO ELAB. SOCI</v>
      </c>
      <c r="D281" t="str">
        <f>"23-AFFIDAMENTO DIRETTO"</f>
        <v>23-AFFIDAMENTO DIRETTO</v>
      </c>
      <c r="E281" t="str">
        <f>"FUTURFIL SRL - 02471780391"</f>
        <v>FUTURFIL SRL - 02471780391</v>
      </c>
      <c r="F281" t="str">
        <f>"FUTURFIL SRL - 02471780391"</f>
        <v>FUTURFIL SRL - 02471780391</v>
      </c>
      <c r="G281" t="str">
        <f>"153,00 EUR"</f>
        <v>153,00 EUR</v>
      </c>
      <c r="H281" t="str">
        <f t="shared" si="83"/>
        <v>16/02/2017 - 16/02/2017</v>
      </c>
      <c r="I281" t="str">
        <f>"153,00 EUR"</f>
        <v>153,00 EUR</v>
      </c>
    </row>
    <row r="282" spans="1:9" x14ac:dyDescent="0.25">
      <c r="A282" t="str">
        <f>"Z4A1D68CBA"</f>
        <v>Z4A1D68CBA</v>
      </c>
      <c r="B282" t="str">
        <f t="shared" si="71"/>
        <v>AC Ravenna - 00085710390</v>
      </c>
      <c r="C282" t="str">
        <f>"RECAPITO BOLSE"</f>
        <v>RECAPITO BOLSE</v>
      </c>
      <c r="D282" t="str">
        <f>"23-AFFIDAMENTO DIRETTO"</f>
        <v>23-AFFIDAMENTO DIRETTO</v>
      </c>
      <c r="E282" t="str">
        <f>"GAMMA INDIRIZZI SRL - 01048250391. FUTURFIL SRL - 02471780391"</f>
        <v>GAMMA INDIRIZZI SRL - 01048250391. FUTURFIL SRL - 02471780391</v>
      </c>
      <c r="F282" t="str">
        <f>"FUTURFIL SRL - 02471780391"</f>
        <v>FUTURFIL SRL - 02471780391</v>
      </c>
      <c r="G282" t="str">
        <f>"579,00 EUR"</f>
        <v>579,00 EUR</v>
      </c>
      <c r="H282" t="str">
        <f t="shared" si="83"/>
        <v>16/02/2017 - 16/02/2017</v>
      </c>
      <c r="I282" t="str">
        <f>"579,00 EUR"</f>
        <v>579,00 EUR</v>
      </c>
    </row>
    <row r="283" spans="1:9" x14ac:dyDescent="0.25">
      <c r="A283" t="str">
        <f>"Z861D47CBD"</f>
        <v>Z861D47CBD</v>
      </c>
      <c r="B283" t="str">
        <f t="shared" si="71"/>
        <v>AC Ravenna - 00085710390</v>
      </c>
      <c r="C283" t="str">
        <f>"MANUTENZIONE ESTINTORI"</f>
        <v>MANUTENZIONE ESTINTORI</v>
      </c>
      <c r="D283" t="str">
        <f>"26-AFFIDAMENTO DIRETTO IN ADESIONE AD ACCORDO QUADRO/CONVENZIONE"</f>
        <v>26-AFFIDAMENTO DIRETTO IN ADESIONE AD ACCORDO QUADRO/CONVENZIONE</v>
      </c>
      <c r="E283" t="str">
        <f>"NUOVA OLP IMPIANTI SRL - 01478520396"</f>
        <v>NUOVA OLP IMPIANTI SRL - 01478520396</v>
      </c>
      <c r="F283" t="str">
        <f>"NUOVA OLP IMPIANTI SRL - 01478520396"</f>
        <v>NUOVA OLP IMPIANTI SRL - 01478520396</v>
      </c>
      <c r="G283" t="str">
        <f>"110,00 EUR"</f>
        <v>110,00 EUR</v>
      </c>
      <c r="H283" t="str">
        <f>"08/02/2017 - 30/06/2017"</f>
        <v>08/02/2017 - 30/06/2017</v>
      </c>
      <c r="I283" t="str">
        <f>"110,00 EUR"</f>
        <v>110,00 EUR</v>
      </c>
    </row>
    <row r="284" spans="1:9" x14ac:dyDescent="0.25">
      <c r="A284" t="str">
        <f>"ZBA1D4667A"</f>
        <v>ZBA1D4667A</v>
      </c>
      <c r="B284" t="str">
        <f t="shared" si="71"/>
        <v>AC Ravenna - 00085710390</v>
      </c>
      <c r="C284" t="str">
        <f>"MODULISTICA UFF.A.A."</f>
        <v>MODULISTICA UFF.A.A.</v>
      </c>
      <c r="D284" t="str">
        <f>"23-AFFIDAMENTO DIRETTO"</f>
        <v>23-AFFIDAMENTO DIRETTO</v>
      </c>
      <c r="E284" t="str">
        <f>"SAMORANI S.R.L. - 02705640403"</f>
        <v>SAMORANI S.R.L. - 02705640403</v>
      </c>
      <c r="F284" t="str">
        <f>"SAMORANI S.R.L. - 02705640403"</f>
        <v>SAMORANI S.R.L. - 02705640403</v>
      </c>
      <c r="G284" t="str">
        <f>"180,00 EUR"</f>
        <v>180,00 EUR</v>
      </c>
      <c r="H284" t="str">
        <f>"07/02/2017 - 28/02/2017"</f>
        <v>07/02/2017 - 28/02/2017</v>
      </c>
      <c r="I284" t="str">
        <f>"180,00 EUR"</f>
        <v>180,00 EUR</v>
      </c>
    </row>
    <row r="285" spans="1:9" x14ac:dyDescent="0.25">
      <c r="A285" t="str">
        <f>"Z551D38F01"</f>
        <v>Z551D38F01</v>
      </c>
      <c r="B285" t="str">
        <f t="shared" si="71"/>
        <v>AC Ravenna - 00085710390</v>
      </c>
      <c r="C285" t="str">
        <f>"ASSISTENZA OROLOGIO MARCATEMPO"</f>
        <v>ASSISTENZA OROLOGIO MARCATEMPO</v>
      </c>
      <c r="D285" t="str">
        <f>"23-AFFIDAMENTO DIRETTO"</f>
        <v>23-AFFIDAMENTO DIRETTO</v>
      </c>
      <c r="E285" t="str">
        <f>"ELCO SISTEMI SRL - 03246960409"</f>
        <v>ELCO SISTEMI SRL - 03246960409</v>
      </c>
      <c r="F285" t="str">
        <f>"ELCO SISTEMI SRL - 03246960409"</f>
        <v>ELCO SISTEMI SRL - 03246960409</v>
      </c>
      <c r="G285" t="str">
        <f>"119,00 EUR"</f>
        <v>119,00 EUR</v>
      </c>
      <c r="H285" t="str">
        <f>"03/02/2017 - 31/12/2017"</f>
        <v>03/02/2017 - 31/12/2017</v>
      </c>
      <c r="I285" t="str">
        <f>"119,00 EUR"</f>
        <v>119,00 EUR</v>
      </c>
    </row>
    <row r="286" spans="1:9" x14ac:dyDescent="0.25">
      <c r="A286" t="str">
        <f>"ZC71D38F56"</f>
        <v>ZC71D38F56</v>
      </c>
      <c r="B286" t="str">
        <f t="shared" si="71"/>
        <v>AC Ravenna - 00085710390</v>
      </c>
      <c r="C286" t="str">
        <f>"MANUTENZIONE IMMOBILE"</f>
        <v>MANUTENZIONE IMMOBILE</v>
      </c>
      <c r="D286" t="str">
        <f>"23-AFFIDAMENTO DIRETTO"</f>
        <v>23-AFFIDAMENTO DIRETTO</v>
      </c>
      <c r="E286" t="str">
        <f>"ASSA ABLOY ENTRANCE SYSTEMS SPA - 08403530150"</f>
        <v>ASSA ABLOY ENTRANCE SYSTEMS SPA - 08403530150</v>
      </c>
      <c r="F286" t="str">
        <f>"ASSA ABLOY ENTRANCE SYSTEMS SPA - 08403530150"</f>
        <v>ASSA ABLOY ENTRANCE SYSTEMS SPA - 08403530150</v>
      </c>
      <c r="G286" t="str">
        <f>"352,00 EUR"</f>
        <v>352,00 EUR</v>
      </c>
      <c r="H286" t="str">
        <f>"03/02/2017 - 31/12/2017"</f>
        <v>03/02/2017 - 31/12/2017</v>
      </c>
      <c r="I286" t="str">
        <f>"352,00 EUR"</f>
        <v>352,00 EUR</v>
      </c>
    </row>
    <row r="287" spans="1:9" x14ac:dyDescent="0.25">
      <c r="A287" t="str">
        <f>"Z351D2ACB7"</f>
        <v>Z351D2ACB7</v>
      </c>
      <c r="B287" t="str">
        <f t="shared" si="71"/>
        <v>AC Ravenna - 00085710390</v>
      </c>
      <c r="C287" t="str">
        <f>"FORNITURA GASOLIO"</f>
        <v>FORNITURA GASOLIO</v>
      </c>
      <c r="D287" t="str">
        <f>"27-CONFRONTO COMPETITIVO IN ADESIONE AD ACCORDO QUADRO/CONVENZIONE"</f>
        <v>27-CONFRONTO COMPETITIVO IN ADESIONE AD ACCORDO QUADRO/CONVENZIONE</v>
      </c>
      <c r="E287" t="str">
        <f>"Q8 QUASER SRL - 06543251000"</f>
        <v>Q8 QUASER SRL - 06543251000</v>
      </c>
      <c r="F287" t="str">
        <f>"Q8 QUASER SRL - 06543251000"</f>
        <v>Q8 QUASER SRL - 06543251000</v>
      </c>
      <c r="G287" t="str">
        <f>"1.717,00 EUR"</f>
        <v>1.717,00 EUR</v>
      </c>
      <c r="H287" t="str">
        <f>"01/02/2017 - 01/02/2017"</f>
        <v>01/02/2017 - 01/02/2017</v>
      </c>
      <c r="I287" t="str">
        <f>"1.717,00 EUR"</f>
        <v>1.717,00 EUR</v>
      </c>
    </row>
    <row r="288" spans="1:9" x14ac:dyDescent="0.25">
      <c r="A288" t="str">
        <f>"Z741D27EF2"</f>
        <v>Z741D27EF2</v>
      </c>
      <c r="B288" t="str">
        <f t="shared" si="71"/>
        <v>AC Ravenna - 00085710390</v>
      </c>
      <c r="C288" t="str">
        <f>"MODULISTICA UFF.A.A."</f>
        <v>MODULISTICA UFF.A.A.</v>
      </c>
      <c r="D288" t="str">
        <f>"23-AFFIDAMENTO DIRETTO"</f>
        <v>23-AFFIDAMENTO DIRETTO</v>
      </c>
      <c r="E288" t="str">
        <f t="shared" ref="E288:F290" si="85">"TIPOLITOGRAFIA MAZZANTI S.r.l. - 02091850392"</f>
        <v>TIPOLITOGRAFIA MAZZANTI S.r.l. - 02091850392</v>
      </c>
      <c r="F288" t="str">
        <f t="shared" si="85"/>
        <v>TIPOLITOGRAFIA MAZZANTI S.r.l. - 02091850392</v>
      </c>
      <c r="G288" t="str">
        <f>"106,00 EUR"</f>
        <v>106,00 EUR</v>
      </c>
      <c r="H288" t="str">
        <f>"31/01/2017 - 31/01/2014"</f>
        <v>31/01/2017 - 31/01/2014</v>
      </c>
      <c r="I288" t="str">
        <f>"106,00 EUR"</f>
        <v>106,00 EUR</v>
      </c>
    </row>
    <row r="289" spans="1:9" x14ac:dyDescent="0.25">
      <c r="A289" t="str">
        <f>"Z1F1D27E96"</f>
        <v>Z1F1D27E96</v>
      </c>
      <c r="B289" t="str">
        <f t="shared" si="71"/>
        <v>AC Ravenna - 00085710390</v>
      </c>
      <c r="C289" t="str">
        <f>"STAMPATI"</f>
        <v>STAMPATI</v>
      </c>
      <c r="D289" t="str">
        <f>"27-CONFRONTO COMPETITIVO IN ADESIONE AD ACCORDO QUADRO/CONVENZIONE"</f>
        <v>27-CONFRONTO COMPETITIVO IN ADESIONE AD ACCORDO QUADRO/CONVENZIONE</v>
      </c>
      <c r="E289" t="str">
        <f t="shared" si="85"/>
        <v>TIPOLITOGRAFIA MAZZANTI S.r.l. - 02091850392</v>
      </c>
      <c r="F289" t="str">
        <f t="shared" si="85"/>
        <v>TIPOLITOGRAFIA MAZZANTI S.r.l. - 02091850392</v>
      </c>
      <c r="G289" t="str">
        <f>"157,00 EUR"</f>
        <v>157,00 EUR</v>
      </c>
      <c r="H289" t="str">
        <f>"31/01/2017 - 31/01/2017"</f>
        <v>31/01/2017 - 31/01/2017</v>
      </c>
      <c r="I289" t="str">
        <f>"157,00 EUR"</f>
        <v>157,00 EUR</v>
      </c>
    </row>
    <row r="290" spans="1:9" x14ac:dyDescent="0.25">
      <c r="A290" t="str">
        <f>"Z121D27E06"</f>
        <v>Z121D27E06</v>
      </c>
      <c r="B290" t="str">
        <f t="shared" si="71"/>
        <v>AC Ravenna - 00085710390</v>
      </c>
      <c r="C290" t="str">
        <f>"MODULISTICA UFF.SOCI"</f>
        <v>MODULISTICA UFF.SOCI</v>
      </c>
      <c r="D290" t="str">
        <f t="shared" ref="D290:D298" si="86">"23-AFFIDAMENTO DIRETTO"</f>
        <v>23-AFFIDAMENTO DIRETTO</v>
      </c>
      <c r="E290" t="str">
        <f t="shared" si="85"/>
        <v>TIPOLITOGRAFIA MAZZANTI S.r.l. - 02091850392</v>
      </c>
      <c r="F290" t="str">
        <f t="shared" si="85"/>
        <v>TIPOLITOGRAFIA MAZZANTI S.r.l. - 02091850392</v>
      </c>
      <c r="G290" t="str">
        <f>"352,00 EUR"</f>
        <v>352,00 EUR</v>
      </c>
      <c r="H290" t="str">
        <f>"31/01/2017 - 31/01/2017"</f>
        <v>31/01/2017 - 31/01/2017</v>
      </c>
      <c r="I290" t="str">
        <f>"352,00 EUR"</f>
        <v>352,00 EUR</v>
      </c>
    </row>
    <row r="291" spans="1:9" x14ac:dyDescent="0.25">
      <c r="A291" t="str">
        <f>"Z011D260EE"</f>
        <v>Z011D260EE</v>
      </c>
      <c r="B291" t="str">
        <f t="shared" si="71"/>
        <v>AC Ravenna - 00085710390</v>
      </c>
      <c r="C291" t="str">
        <f>"PULIZIE LOCALI"</f>
        <v>PULIZIE LOCALI</v>
      </c>
      <c r="D291" t="str">
        <f t="shared" si="86"/>
        <v>23-AFFIDAMENTO DIRETTO</v>
      </c>
      <c r="E291" t="str">
        <f>"CENTRO IGIENE S.r.l. - 02368400392"</f>
        <v>CENTRO IGIENE S.r.l. - 02368400392</v>
      </c>
      <c r="F291" t="str">
        <f>"CENTRO IGIENE S.r.l. - 02368400392"</f>
        <v>CENTRO IGIENE S.r.l. - 02368400392</v>
      </c>
      <c r="G291" t="str">
        <f>"1.375,00 EUR"</f>
        <v>1.375,00 EUR</v>
      </c>
      <c r="H291" t="str">
        <f>"02/01/2017 - 31/01/2017"</f>
        <v>02/01/2017 - 31/01/2017</v>
      </c>
      <c r="I291" t="str">
        <f>"1.375,00 EUR"</f>
        <v>1.375,00 EUR</v>
      </c>
    </row>
    <row r="292" spans="1:9" x14ac:dyDescent="0.25">
      <c r="A292" t="str">
        <f>"Z821D2598A"</f>
        <v>Z821D2598A</v>
      </c>
      <c r="B292" t="str">
        <f t="shared" si="71"/>
        <v>AC Ravenna - 00085710390</v>
      </c>
      <c r="C292" t="str">
        <f>"SERVIZIO VIGILANZA 1 SEM."</f>
        <v>SERVIZIO VIGILANZA 1 SEM.</v>
      </c>
      <c r="D292" t="str">
        <f t="shared" si="86"/>
        <v>23-AFFIDAMENTO DIRETTO</v>
      </c>
      <c r="E292" t="str">
        <f>"I.B.S.ITALIA SRL - 02107450393"</f>
        <v>I.B.S.ITALIA SRL - 02107450393</v>
      </c>
      <c r="F292" t="str">
        <f>"I.B.S.ITALIA SRL - 02107450393"</f>
        <v>I.B.S.ITALIA SRL - 02107450393</v>
      </c>
      <c r="G292" t="str">
        <f>"360,00 EUR"</f>
        <v>360,00 EUR</v>
      </c>
      <c r="H292" t="str">
        <f>"02/01/2017 - 30/06/2017"</f>
        <v>02/01/2017 - 30/06/2017</v>
      </c>
      <c r="I292" t="str">
        <f>"360,00 EUR"</f>
        <v>360,00 EUR</v>
      </c>
    </row>
    <row r="293" spans="1:9" x14ac:dyDescent="0.25">
      <c r="A293" t="str">
        <f>"Z531CF94BD"</f>
        <v>Z531CF94BD</v>
      </c>
      <c r="B293" t="str">
        <f t="shared" si="71"/>
        <v>AC Ravenna - 00085710390</v>
      </c>
      <c r="C293" t="str">
        <f>"MATERIALE PUBBLICITARIO"</f>
        <v>MATERIALE PUBBLICITARIO</v>
      </c>
      <c r="D293" t="str">
        <f t="shared" si="86"/>
        <v>23-AFFIDAMENTO DIRETTO</v>
      </c>
      <c r="E293" t="str">
        <f>"PICCHIANI &amp; BARLACCHI SRL - 04585840483"</f>
        <v>PICCHIANI &amp; BARLACCHI SRL - 04585840483</v>
      </c>
      <c r="F293" t="str">
        <f>"PICCHIANI &amp; BARLACCHI SRL - 04585840483"</f>
        <v>PICCHIANI &amp; BARLACCHI SRL - 04585840483</v>
      </c>
      <c r="G293" t="str">
        <f>"1.040,00 EUR"</f>
        <v>1.040,00 EUR</v>
      </c>
      <c r="H293" t="str">
        <f>"18/01/2017 - 31/01/2017"</f>
        <v>18/01/2017 - 31/01/2017</v>
      </c>
      <c r="I293" t="str">
        <f>"1.040,00 EUR"</f>
        <v>1.040,00 EUR</v>
      </c>
    </row>
    <row r="294" spans="1:9" x14ac:dyDescent="0.25">
      <c r="A294" t="str">
        <f>"Z801CF1A8B"</f>
        <v>Z801CF1A8B</v>
      </c>
      <c r="B294" t="str">
        <f t="shared" si="71"/>
        <v>AC Ravenna - 00085710390</v>
      </c>
      <c r="C294" t="str">
        <f>"MANUTENZIONE IMPIANTI CALDAIA"</f>
        <v>MANUTENZIONE IMPIANTI CALDAIA</v>
      </c>
      <c r="D294" t="str">
        <f t="shared" si="86"/>
        <v>23-AFFIDAMENTO DIRETTO</v>
      </c>
      <c r="E294" t="str">
        <f>"NILO TERMOIDRAULICA SRL - 02500700394"</f>
        <v>NILO TERMOIDRAULICA SRL - 02500700394</v>
      </c>
      <c r="F294" t="str">
        <f>"NILO TERMOIDRAULICA SRL - 02500700394"</f>
        <v>NILO TERMOIDRAULICA SRL - 02500700394</v>
      </c>
      <c r="G294" t="str">
        <f>"580,00 EUR"</f>
        <v>580,00 EUR</v>
      </c>
      <c r="H294" t="str">
        <f>"16/01/2017 - 31/01/2017"</f>
        <v>16/01/2017 - 31/01/2017</v>
      </c>
      <c r="I294" t="str">
        <f>"580,00 EUR"</f>
        <v>580,00 EUR</v>
      </c>
    </row>
    <row r="295" spans="1:9" x14ac:dyDescent="0.25">
      <c r="A295" t="str">
        <f>"Z951CDEF47"</f>
        <v>Z951CDEF47</v>
      </c>
      <c r="B295" t="str">
        <f t="shared" si="71"/>
        <v>AC Ravenna - 00085710390</v>
      </c>
      <c r="C295" t="str">
        <f>"MANUTENZIONE IMPIANTI TELEFONICI"</f>
        <v>MANUTENZIONE IMPIANTI TELEFONICI</v>
      </c>
      <c r="D295" t="str">
        <f t="shared" si="86"/>
        <v>23-AFFIDAMENTO DIRETTO</v>
      </c>
      <c r="E295" t="str">
        <f>"ECIS ELETTRONICA SAS - 01400920391"</f>
        <v>ECIS ELETTRONICA SAS - 01400920391</v>
      </c>
      <c r="F295" t="str">
        <f>"ECIS ELETTRONICA SAS - 01400920391"</f>
        <v>ECIS ELETTRONICA SAS - 01400920391</v>
      </c>
      <c r="G295" t="str">
        <f>"116,00 EUR"</f>
        <v>116,00 EUR</v>
      </c>
      <c r="H295" t="str">
        <f>"11/01/2017 - 31/01/2017"</f>
        <v>11/01/2017 - 31/01/2017</v>
      </c>
      <c r="I295" t="str">
        <f>"116,00 EUR"</f>
        <v>116,00 EUR</v>
      </c>
    </row>
    <row r="296" spans="1:9" x14ac:dyDescent="0.25">
      <c r="A296" t="str">
        <f>"ZF81CCD327"</f>
        <v>ZF81CCD327</v>
      </c>
      <c r="B296" t="str">
        <f t="shared" si="71"/>
        <v>AC Ravenna - 00085710390</v>
      </c>
      <c r="C296" t="str">
        <f>"RECAPITO PATENTI"</f>
        <v>RECAPITO PATENTI</v>
      </c>
      <c r="D296" t="str">
        <f t="shared" si="86"/>
        <v>23-AFFIDAMENTO DIRETTO</v>
      </c>
      <c r="E296" t="str">
        <f t="shared" ref="E296:F298" si="87">"GAMMA INDIRIZZI SRL - 01048250391"</f>
        <v>GAMMA INDIRIZZI SRL - 01048250391</v>
      </c>
      <c r="F296" t="str">
        <f t="shared" si="87"/>
        <v>GAMMA INDIRIZZI SRL - 01048250391</v>
      </c>
      <c r="G296" t="str">
        <f>"470,00 EUR"</f>
        <v>470,00 EUR</v>
      </c>
      <c r="H296" t="str">
        <f>"02/01/2017 - 31/01/2017"</f>
        <v>02/01/2017 - 31/01/2017</v>
      </c>
      <c r="I296" t="str">
        <f>"470,00 EUR"</f>
        <v>470,00 EUR</v>
      </c>
    </row>
    <row r="297" spans="1:9" x14ac:dyDescent="0.25">
      <c r="A297" t="str">
        <f>"ZF41CCD30E"</f>
        <v>ZF41CCD30E</v>
      </c>
      <c r="B297" t="str">
        <f t="shared" si="71"/>
        <v>AC Ravenna - 00085710390</v>
      </c>
      <c r="C297" t="str">
        <f>"RECAPITO SOCI"</f>
        <v>RECAPITO SOCI</v>
      </c>
      <c r="D297" t="str">
        <f t="shared" si="86"/>
        <v>23-AFFIDAMENTO DIRETTO</v>
      </c>
      <c r="E297" t="str">
        <f t="shared" si="87"/>
        <v>GAMMA INDIRIZZI SRL - 01048250391</v>
      </c>
      <c r="F297" t="str">
        <f t="shared" si="87"/>
        <v>GAMMA INDIRIZZI SRL - 01048250391</v>
      </c>
      <c r="G297" t="str">
        <f>"263,00 EUR"</f>
        <v>263,00 EUR</v>
      </c>
      <c r="H297" t="str">
        <f>"02/01/2017 - 31/01/2017"</f>
        <v>02/01/2017 - 31/01/2017</v>
      </c>
      <c r="I297" t="str">
        <f>"263,00 EUR"</f>
        <v>263,00 EUR</v>
      </c>
    </row>
    <row r="298" spans="1:9" x14ac:dyDescent="0.25">
      <c r="A298" t="str">
        <f>"ZF71CCD2E2"</f>
        <v>ZF71CCD2E2</v>
      </c>
      <c r="B298" t="str">
        <f t="shared" si="71"/>
        <v>AC Ravenna - 00085710390</v>
      </c>
      <c r="C298" t="str">
        <f>"RECAPITO BOLSE"</f>
        <v>RECAPITO BOLSE</v>
      </c>
      <c r="D298" t="str">
        <f t="shared" si="86"/>
        <v>23-AFFIDAMENTO DIRETTO</v>
      </c>
      <c r="E298" t="str">
        <f t="shared" si="87"/>
        <v>GAMMA INDIRIZZI SRL - 01048250391</v>
      </c>
      <c r="F298" t="str">
        <f t="shared" si="87"/>
        <v>GAMMA INDIRIZZI SRL - 01048250391</v>
      </c>
      <c r="G298" t="str">
        <f>"1.626,00 EUR"</f>
        <v>1.626,00 EUR</v>
      </c>
      <c r="H298" t="str">
        <f>"02/01/2017 - 07/02/1201"</f>
        <v>02/01/2017 - 07/02/1201</v>
      </c>
      <c r="I298" t="str">
        <f>"1.626,00 EUR"</f>
        <v>1.626,00 EUR</v>
      </c>
    </row>
    <row r="299" spans="1:9" x14ac:dyDescent="0.25">
      <c r="A299" t="str">
        <f>"0000000000"</f>
        <v>0000000000</v>
      </c>
      <c r="B299" t="str">
        <f t="shared" si="71"/>
        <v>AC Ravenna - 00085710390</v>
      </c>
      <c r="C299" t="str">
        <f>"CONVENZIONE ACRA/ACITOUR SERVICE SRL SERVIZIO EROGATO:SERVIZIO PATRIMONIO E ACQUISTI"</f>
        <v>CONVENZIONE ACRA/ACITOUR SERVICE SRL SERVIZIO EROGATO:SERVIZIO PATRIMONIO E ACQUISTI</v>
      </c>
      <c r="D299" t="str">
        <f>"24-AFFIDAMENTO DIRETTO A SOCIETA' IN HOUSE"</f>
        <v>24-AFFIDAMENTO DIRETTO A SOCIETA' IN HOUSE</v>
      </c>
      <c r="E299" t="str">
        <f t="shared" ref="E299:F303" si="88">"ACITOUR SERVICE SRL in house - 01032170399"</f>
        <v>ACITOUR SERVICE SRL in house - 01032170399</v>
      </c>
      <c r="F299" t="str">
        <f t="shared" si="88"/>
        <v>ACITOUR SERVICE SRL in house - 01032170399</v>
      </c>
      <c r="G299" t="str">
        <f>"20.000,00 EUR"</f>
        <v>20.000,00 EUR</v>
      </c>
      <c r="H299" t="str">
        <f>"01/01/2016 - 31/12/2016"</f>
        <v>01/01/2016 - 31/12/2016</v>
      </c>
      <c r="I299" t="str">
        <f>"0,00 EUR"</f>
        <v>0,00 EUR</v>
      </c>
    </row>
    <row r="300" spans="1:9" x14ac:dyDescent="0.25">
      <c r="A300" t="str">
        <f>"0000000000"</f>
        <v>0000000000</v>
      </c>
      <c r="B300" t="str">
        <f t="shared" si="71"/>
        <v>AC Ravenna - 00085710390</v>
      </c>
      <c r="C300" t="str">
        <f>"CONVENZIONE ACRA/ACITOUR SERVICE SRL SERVIZIO EROGATO:UFFICIO SEGRETERIA"</f>
        <v>CONVENZIONE ACRA/ACITOUR SERVICE SRL SERVIZIO EROGATO:UFFICIO SEGRETERIA</v>
      </c>
      <c r="D300" t="str">
        <f>"24-AFFIDAMENTO DIRETTO A SOCIETA' IN HOUSE"</f>
        <v>24-AFFIDAMENTO DIRETTO A SOCIETA' IN HOUSE</v>
      </c>
      <c r="E300" t="str">
        <f t="shared" si="88"/>
        <v>ACITOUR SERVICE SRL in house - 01032170399</v>
      </c>
      <c r="F300" t="str">
        <f t="shared" si="88"/>
        <v>ACITOUR SERVICE SRL in house - 01032170399</v>
      </c>
      <c r="G300" t="str">
        <f>"25.000,00 EUR"</f>
        <v>25.000,00 EUR</v>
      </c>
      <c r="H300" t="str">
        <f>"01/01/2016 - 30/12/2016"</f>
        <v>01/01/2016 - 30/12/2016</v>
      </c>
      <c r="I300" t="str">
        <f>"0,00 EUR"</f>
        <v>0,00 EUR</v>
      </c>
    </row>
    <row r="301" spans="1:9" x14ac:dyDescent="0.25">
      <c r="A301" t="str">
        <f>"0000000000"</f>
        <v>0000000000</v>
      </c>
      <c r="B301" t="str">
        <f t="shared" ref="B301:B364" si="89">"AC Ravenna - 00085710390"</f>
        <v>AC Ravenna - 00085710390</v>
      </c>
      <c r="C301" t="str">
        <f>"CONVENZIONE ACRA/ACITOUR SERVICE SRL SERVIZIO EROGATO:ATTIVITA' PROMOZ.PRESSO SEDE"</f>
        <v>CONVENZIONE ACRA/ACITOUR SERVICE SRL SERVIZIO EROGATO:ATTIVITA' PROMOZ.PRESSO SEDE</v>
      </c>
      <c r="D301" t="str">
        <f>"24-AFFIDAMENTO DIRETTO A SOCIETA' IN HOUSE"</f>
        <v>24-AFFIDAMENTO DIRETTO A SOCIETA' IN HOUSE</v>
      </c>
      <c r="E301" t="str">
        <f t="shared" si="88"/>
        <v>ACITOUR SERVICE SRL in house - 01032170399</v>
      </c>
      <c r="F301" t="str">
        <f t="shared" si="88"/>
        <v>ACITOUR SERVICE SRL in house - 01032170399</v>
      </c>
      <c r="G301" t="str">
        <f>"30.000,00 EUR"</f>
        <v>30.000,00 EUR</v>
      </c>
      <c r="H301" t="str">
        <f>"01/01/2016 - 30/12/2016"</f>
        <v>01/01/2016 - 30/12/2016</v>
      </c>
      <c r="I301" t="str">
        <f>"0,00 EUR"</f>
        <v>0,00 EUR</v>
      </c>
    </row>
    <row r="302" spans="1:9" x14ac:dyDescent="0.25">
      <c r="A302" t="str">
        <f>"0000000000"</f>
        <v>0000000000</v>
      </c>
      <c r="B302" t="str">
        <f t="shared" si="89"/>
        <v>AC Ravenna - 00085710390</v>
      </c>
      <c r="C302" t="str">
        <f>"CONVENZIONE ACRA/ACITOUR SERVICE SRL SERVIZIO EROGATO:ATTIVITA'MARKETING/DELEG."</f>
        <v>CONVENZIONE ACRA/ACITOUR SERVICE SRL SERVIZIO EROGATO:ATTIVITA'MARKETING/DELEG.</v>
      </c>
      <c r="D302" t="str">
        <f>"24-AFFIDAMENTO DIRETTO A SOCIETA' IN HOUSE"</f>
        <v>24-AFFIDAMENTO DIRETTO A SOCIETA' IN HOUSE</v>
      </c>
      <c r="E302" t="str">
        <f t="shared" si="88"/>
        <v>ACITOUR SERVICE SRL in house - 01032170399</v>
      </c>
      <c r="F302" t="str">
        <f t="shared" si="88"/>
        <v>ACITOUR SERVICE SRL in house - 01032170399</v>
      </c>
      <c r="G302" t="str">
        <f>"60.000,00 EUR"</f>
        <v>60.000,00 EUR</v>
      </c>
      <c r="H302" t="str">
        <f>"01/01/2016 - 30/12/2016"</f>
        <v>01/01/2016 - 30/12/2016</v>
      </c>
      <c r="I302" t="str">
        <f>"0,00 EUR"</f>
        <v>0,00 EUR</v>
      </c>
    </row>
    <row r="303" spans="1:9" x14ac:dyDescent="0.25">
      <c r="A303" t="str">
        <f>"0000000000"</f>
        <v>0000000000</v>
      </c>
      <c r="B303" t="str">
        <f t="shared" si="89"/>
        <v>AC Ravenna - 00085710390</v>
      </c>
      <c r="C303" t="str">
        <f>"CONVENZIONE ACRA/ACITOUR SERVICE SRL SERVIZIO EROGATO:UFFICIO AMMNISTRAZIONE"</f>
        <v>CONVENZIONE ACRA/ACITOUR SERVICE SRL SERVIZIO EROGATO:UFFICIO AMMNISTRAZIONE</v>
      </c>
      <c r="D303" t="str">
        <f>"24-AFFIDAMENTO DIRETTO A SOCIETA' IN HOUSE"</f>
        <v>24-AFFIDAMENTO DIRETTO A SOCIETA' IN HOUSE</v>
      </c>
      <c r="E303" t="str">
        <f t="shared" si="88"/>
        <v>ACITOUR SERVICE SRL in house - 01032170399</v>
      </c>
      <c r="F303" t="str">
        <f t="shared" si="88"/>
        <v>ACITOUR SERVICE SRL in house - 01032170399</v>
      </c>
      <c r="G303" t="str">
        <f>"30.000,00 EUR"</f>
        <v>30.000,00 EUR</v>
      </c>
      <c r="H303" t="str">
        <f>"01/01/2016 - 30/12/2016"</f>
        <v>01/01/2016 - 30/12/2016</v>
      </c>
      <c r="I303" t="str">
        <f>"0,00 EUR"</f>
        <v>0,00 EUR</v>
      </c>
    </row>
    <row r="304" spans="1:9" x14ac:dyDescent="0.25">
      <c r="A304" t="str">
        <f>"Z1219B4D78"</f>
        <v>Z1219B4D78</v>
      </c>
      <c r="B304" t="str">
        <f t="shared" si="89"/>
        <v>AC Ravenna - 00085710390</v>
      </c>
      <c r="C304" t="str">
        <f>"ACQUISTO SOFTWARE APPLICATIVO"</f>
        <v>ACQUISTO SOFTWARE APPLICATIVO</v>
      </c>
      <c r="D304" t="str">
        <f>"23-AFFIDAMENTO DIRETTO"</f>
        <v>23-AFFIDAMENTO DIRETTO</v>
      </c>
      <c r="E304" t="str">
        <f>"HARVARD GROUP S.r.l. - 02254110402"</f>
        <v>HARVARD GROUP S.r.l. - 02254110402</v>
      </c>
      <c r="F304" t="str">
        <f>"HARVARD GROUP S.r.l. - 02254110402"</f>
        <v>HARVARD GROUP S.r.l. - 02254110402</v>
      </c>
      <c r="G304" t="str">
        <f>"25.566,00 EUR"</f>
        <v>25.566,00 EUR</v>
      </c>
      <c r="H304" t="str">
        <f>"03/05/2016 - 03/05/2019"</f>
        <v>03/05/2016 - 03/05/2019</v>
      </c>
      <c r="I304" t="str">
        <f>"10.359,00 EUR"</f>
        <v>10.359,00 EUR</v>
      </c>
    </row>
    <row r="305" spans="1:9" x14ac:dyDescent="0.25">
      <c r="A305" t="str">
        <f>"Z721CB30A7"</f>
        <v>Z721CB30A7</v>
      </c>
      <c r="B305" t="str">
        <f t="shared" si="89"/>
        <v>AC Ravenna - 00085710390</v>
      </c>
      <c r="C305" t="str">
        <f>"SERVIZI TELEMATICI"</f>
        <v>SERVIZI TELEMATICI</v>
      </c>
      <c r="D305" t="str">
        <f>"23-AFFIDAMENTO DIRETTO"</f>
        <v>23-AFFIDAMENTO DIRETTO</v>
      </c>
      <c r="E305" t="str">
        <f>"SAYES SC.TRA PROFESSIONISTI - 02550640391"</f>
        <v>SAYES SC.TRA PROFESSIONISTI - 02550640391</v>
      </c>
      <c r="F305" t="str">
        <f>"SAYES SC.TRA PROFESSIONISTI - 02550640391"</f>
        <v>SAYES SC.TRA PROFESSIONISTI - 02550640391</v>
      </c>
      <c r="G305" t="str">
        <f>"340,00 EUR"</f>
        <v>340,00 EUR</v>
      </c>
      <c r="H305" t="str">
        <f>"23/12/2016 - 31/12/2016"</f>
        <v>23/12/2016 - 31/12/2016</v>
      </c>
      <c r="I305" t="str">
        <f>"340,00 EUR"</f>
        <v>340,00 EUR</v>
      </c>
    </row>
    <row r="306" spans="1:9" x14ac:dyDescent="0.25">
      <c r="A306" t="str">
        <f>"Z49+1CA480"</f>
        <v>Z49+1CA480</v>
      </c>
      <c r="B306" t="str">
        <f t="shared" si="89"/>
        <v>AC Ravenna - 00085710390</v>
      </c>
      <c r="C306" t="str">
        <f>"PULIZIE SEDE"</f>
        <v>PULIZIE SEDE</v>
      </c>
      <c r="D306" t="str">
        <f>"23-AFFIDAMENTO DIRETTO"</f>
        <v>23-AFFIDAMENTO DIRETTO</v>
      </c>
      <c r="E306" t="str">
        <f>"CENTRO IGIENE S.r.l. - 02368400392"</f>
        <v>CENTRO IGIENE S.r.l. - 02368400392</v>
      </c>
      <c r="F306" t="str">
        <f>"CENTRO IGIENE S.r.l. - 02368400392"</f>
        <v>CENTRO IGIENE S.r.l. - 02368400392</v>
      </c>
      <c r="G306" t="str">
        <f>"1.375,00 EUR"</f>
        <v>1.375,00 EUR</v>
      </c>
      <c r="H306" t="str">
        <f>"20/12/2016 - 31/12/2016"</f>
        <v>20/12/2016 - 31/12/2016</v>
      </c>
      <c r="I306" t="str">
        <f>"1.375,00 EUR"</f>
        <v>1.375,00 EUR</v>
      </c>
    </row>
    <row r="307" spans="1:9" x14ac:dyDescent="0.25">
      <c r="A307" t="str">
        <f>"Z521CX85F3"</f>
        <v>Z521CX85F3</v>
      </c>
      <c r="B307" t="str">
        <f t="shared" si="89"/>
        <v>AC Ravenna - 00085710390</v>
      </c>
      <c r="C307" t="str">
        <f>"SPESE RISCALDAMENTO"</f>
        <v>SPESE RISCALDAMENTO</v>
      </c>
      <c r="D307" t="str">
        <f>"27-CONFRONTO COMPETITIVO IN ADESIONE AD ACCORDO QUADRO/CONVENZIONE"</f>
        <v>27-CONFRONTO COMPETITIVO IN ADESIONE AD ACCORDO QUADRO/CONVENZIONE</v>
      </c>
      <c r="E307" t="str">
        <f>"Q8 QUASER SRL - 06543251000"</f>
        <v>Q8 QUASER SRL - 06543251000</v>
      </c>
      <c r="F307" t="str">
        <f>"Q8 QUASER SRL - 06543251000"</f>
        <v>Q8 QUASER SRL - 06543251000</v>
      </c>
      <c r="G307" t="str">
        <f>"1.675,00 EUR"</f>
        <v>1.675,00 EUR</v>
      </c>
      <c r="H307" t="str">
        <f>"14/12/2016 - 05/01/2017"</f>
        <v>14/12/2016 - 05/01/2017</v>
      </c>
      <c r="I307" t="str">
        <f>"1.675,00 EUR"</f>
        <v>1.675,00 EUR</v>
      </c>
    </row>
    <row r="308" spans="1:9" x14ac:dyDescent="0.25">
      <c r="A308" t="str">
        <f>"Z251C71F3B"</f>
        <v>Z251C71F3B</v>
      </c>
      <c r="B308" t="str">
        <f t="shared" si="89"/>
        <v>AC Ravenna - 00085710390</v>
      </c>
      <c r="C308" t="str">
        <f>"MANUTENZIONE IMMOBILE"</f>
        <v>MANUTENZIONE IMMOBILE</v>
      </c>
      <c r="D308" t="str">
        <f>"23-AFFIDAMENTO DIRETTO"</f>
        <v>23-AFFIDAMENTO DIRETTO</v>
      </c>
      <c r="E308" t="str">
        <f>"NILO TERMOIDRAULICA SRL - 02500700394"</f>
        <v>NILO TERMOIDRAULICA SRL - 02500700394</v>
      </c>
      <c r="F308" t="str">
        <f>"NILO TERMOIDRAULICA SRL - 02500700394"</f>
        <v>NILO TERMOIDRAULICA SRL - 02500700394</v>
      </c>
      <c r="G308" t="str">
        <f>"199,00 EUR"</f>
        <v>199,00 EUR</v>
      </c>
      <c r="H308" t="str">
        <f>"12/12/2016 - 31/12/2016"</f>
        <v>12/12/2016 - 31/12/2016</v>
      </c>
      <c r="I308" t="str">
        <f>"199,00 EUR"</f>
        <v>199,00 EUR</v>
      </c>
    </row>
    <row r="309" spans="1:9" x14ac:dyDescent="0.25">
      <c r="A309" t="str">
        <f>"Z5F1C4BF49"</f>
        <v>Z5F1C4BF49</v>
      </c>
      <c r="B309" t="str">
        <f t="shared" si="89"/>
        <v>AC Ravenna - 00085710390</v>
      </c>
      <c r="C309" t="str">
        <f>"CANCELLERIA"</f>
        <v>CANCELLERIA</v>
      </c>
      <c r="D309" t="str">
        <f>"23-AFFIDAMENTO DIRETTO"</f>
        <v>23-AFFIDAMENTO DIRETTO</v>
      </c>
      <c r="E309" t="str">
        <f>"NEOPOST ITALIA S.r.l. - 12535770155"</f>
        <v>NEOPOST ITALIA S.r.l. - 12535770155</v>
      </c>
      <c r="F309" t="str">
        <f>"NEOPOST ITALIA S.r.l. - 12535770155"</f>
        <v>NEOPOST ITALIA S.r.l. - 12535770155</v>
      </c>
      <c r="G309" t="str">
        <f>"200,00 EUR"</f>
        <v>200,00 EUR</v>
      </c>
      <c r="H309" t="str">
        <f>"30/11/2016 - 31/01/2017"</f>
        <v>30/11/2016 - 31/01/2017</v>
      </c>
      <c r="I309" t="str">
        <f>"0,00 EUR"</f>
        <v>0,00 EUR</v>
      </c>
    </row>
    <row r="310" spans="1:9" x14ac:dyDescent="0.25">
      <c r="A310" t="str">
        <f>"ZA81C42C48"</f>
        <v>ZA81C42C48</v>
      </c>
      <c r="B310" t="str">
        <f t="shared" si="89"/>
        <v>AC Ravenna - 00085710390</v>
      </c>
      <c r="C310" t="str">
        <f>"STAMPATI"</f>
        <v>STAMPATI</v>
      </c>
      <c r="D310" t="str">
        <f>"23-AFFIDAMENTO DIRETTO"</f>
        <v>23-AFFIDAMENTO DIRETTO</v>
      </c>
      <c r="E310" t="str">
        <f t="shared" ref="E310:F312" si="90">"TIPOLITOGRAFIA MAZZANTI S.r.l. - 02091850392"</f>
        <v>TIPOLITOGRAFIA MAZZANTI S.r.l. - 02091850392</v>
      </c>
      <c r="F310" t="str">
        <f t="shared" si="90"/>
        <v>TIPOLITOGRAFIA MAZZANTI S.r.l. - 02091850392</v>
      </c>
      <c r="G310" t="str">
        <f>"45,00 EUR"</f>
        <v>45,00 EUR</v>
      </c>
      <c r="H310" t="str">
        <f>"29/11/2016 - 31/12/2016"</f>
        <v>29/11/2016 - 31/12/2016</v>
      </c>
      <c r="I310" t="str">
        <f>"45,00 EUR"</f>
        <v>45,00 EUR</v>
      </c>
    </row>
    <row r="311" spans="1:9" x14ac:dyDescent="0.25">
      <c r="A311" t="str">
        <f>"Z271C42BD4"</f>
        <v>Z271C42BD4</v>
      </c>
      <c r="B311" t="str">
        <f t="shared" si="89"/>
        <v>AC Ravenna - 00085710390</v>
      </c>
      <c r="C311" t="str">
        <f>"MODULISTICA SEDE"</f>
        <v>MODULISTICA SEDE</v>
      </c>
      <c r="D311" t="str">
        <f>"23-AFFIDAMENTO DIRETTO"</f>
        <v>23-AFFIDAMENTO DIRETTO</v>
      </c>
      <c r="E311" t="str">
        <f t="shared" si="90"/>
        <v>TIPOLITOGRAFIA MAZZANTI S.r.l. - 02091850392</v>
      </c>
      <c r="F311" t="str">
        <f t="shared" si="90"/>
        <v>TIPOLITOGRAFIA MAZZANTI S.r.l. - 02091850392</v>
      </c>
      <c r="G311" t="str">
        <f>"180,00 EUR"</f>
        <v>180,00 EUR</v>
      </c>
      <c r="H311" t="str">
        <f>"29/11/2016 - 31/12/2016"</f>
        <v>29/11/2016 - 31/12/2016</v>
      </c>
      <c r="I311" t="str">
        <f>"180,00 EUR"</f>
        <v>180,00 EUR</v>
      </c>
    </row>
    <row r="312" spans="1:9" x14ac:dyDescent="0.25">
      <c r="A312" t="str">
        <f>"ZE71C42B9D"</f>
        <v>ZE71C42B9D</v>
      </c>
      <c r="B312" t="str">
        <f t="shared" si="89"/>
        <v>AC Ravenna - 00085710390</v>
      </c>
      <c r="C312" t="str">
        <f>"MODULISTICA A.A."</f>
        <v>MODULISTICA A.A.</v>
      </c>
      <c r="D312" t="str">
        <f>"23-AFFIDAMENTO DIRETTO"</f>
        <v>23-AFFIDAMENTO DIRETTO</v>
      </c>
      <c r="E312" t="str">
        <f t="shared" si="90"/>
        <v>TIPOLITOGRAFIA MAZZANTI S.r.l. - 02091850392</v>
      </c>
      <c r="F312" t="str">
        <f t="shared" si="90"/>
        <v>TIPOLITOGRAFIA MAZZANTI S.r.l. - 02091850392</v>
      </c>
      <c r="G312" t="str">
        <f>"285,00 EUR"</f>
        <v>285,00 EUR</v>
      </c>
      <c r="H312" t="str">
        <f>"29/11/2016 - 31/12/2016"</f>
        <v>29/11/2016 - 31/12/2016</v>
      </c>
      <c r="I312" t="str">
        <f>"285,00 EUR"</f>
        <v>285,00 EUR</v>
      </c>
    </row>
    <row r="313" spans="1:9" x14ac:dyDescent="0.25">
      <c r="A313" t="str">
        <f>"ZB01C40E15"</f>
        <v>ZB01C40E15</v>
      </c>
      <c r="B313" t="str">
        <f t="shared" si="89"/>
        <v>AC Ravenna - 00085710390</v>
      </c>
      <c r="C313" t="str">
        <f>"SOFTWARE CONS.ELETTRONICA FATTURE"</f>
        <v>SOFTWARE CONS.ELETTRONICA FATTURE</v>
      </c>
      <c r="D313" t="str">
        <f>"28-PROCEDURA AI SENSI DEI REGOLAMENTI DEGLI ORGANI COSTITUZIONALI"</f>
        <v>28-PROCEDURA AI SENSI DEI REGOLAMENTI DEGLI ORGANI COSTITUZIONALI</v>
      </c>
      <c r="E313" t="str">
        <f>"HARVARD GROUP S.r.l. - 02254110402"</f>
        <v>HARVARD GROUP S.r.l. - 02254110402</v>
      </c>
      <c r="F313" t="str">
        <f>"HARVARD GROUP S.r.l. - 02254110402"</f>
        <v>HARVARD GROUP S.r.l. - 02254110402</v>
      </c>
      <c r="G313" t="str">
        <f>"270,00 EUR"</f>
        <v>270,00 EUR</v>
      </c>
      <c r="H313" t="str">
        <f>"29/11/2016 - 31/12/2016"</f>
        <v>29/11/2016 - 31/12/2016</v>
      </c>
      <c r="I313" t="str">
        <f>"270,00 EUR"</f>
        <v>270,00 EUR</v>
      </c>
    </row>
    <row r="314" spans="1:9" x14ac:dyDescent="0.25">
      <c r="A314" t="str">
        <f>"Z4B1C396B2"</f>
        <v>Z4B1C396B2</v>
      </c>
      <c r="B314" t="str">
        <f t="shared" si="89"/>
        <v>AC Ravenna - 00085710390</v>
      </c>
      <c r="C314" t="str">
        <f>"PULIZIE SEDE"</f>
        <v>PULIZIE SEDE</v>
      </c>
      <c r="D314" t="str">
        <f>"23-AFFIDAMENTO DIRETTO"</f>
        <v>23-AFFIDAMENTO DIRETTO</v>
      </c>
      <c r="E314" t="str">
        <f>"CENTRO IGIENE S.r.l. - 02368400392"</f>
        <v>CENTRO IGIENE S.r.l. - 02368400392</v>
      </c>
      <c r="F314" t="str">
        <f>"CENTRO IGIENE S.r.l. - 02368400392"</f>
        <v>CENTRO IGIENE S.r.l. - 02368400392</v>
      </c>
      <c r="G314" t="str">
        <f>"1.375,00 EUR"</f>
        <v>1.375,00 EUR</v>
      </c>
      <c r="H314" t="str">
        <f>"28/11/2016 - 30/11/2016"</f>
        <v>28/11/2016 - 30/11/2016</v>
      </c>
      <c r="I314" t="str">
        <f>"1.375,00 EUR"</f>
        <v>1.375,00 EUR</v>
      </c>
    </row>
    <row r="315" spans="1:9" x14ac:dyDescent="0.25">
      <c r="A315" t="str">
        <f>"Z671C130A0"</f>
        <v>Z671C130A0</v>
      </c>
      <c r="B315" t="str">
        <f t="shared" si="89"/>
        <v>AC Ravenna - 00085710390</v>
      </c>
      <c r="C315" t="str">
        <f>"SERVIZIO PATENTI"</f>
        <v>SERVIZIO PATENTI</v>
      </c>
      <c r="D315" t="str">
        <f>"22-PROCEDURA NEGOZIATA CON PREVIA INDIZIONE DI GARA (SETTORI SPECIALI)"</f>
        <v>22-PROCEDURA NEGOZIATA CON PREVIA INDIZIONE DI GARA (SETTORI SPECIALI)</v>
      </c>
      <c r="E315" t="str">
        <f t="shared" ref="E315:F317" si="91">"GAMMA INDIRIZZI SRL - 01048250391"</f>
        <v>GAMMA INDIRIZZI SRL - 01048250391</v>
      </c>
      <c r="F315" t="str">
        <f t="shared" si="91"/>
        <v>GAMMA INDIRIZZI SRL - 01048250391</v>
      </c>
      <c r="G315" t="str">
        <f>"240,00 EUR"</f>
        <v>240,00 EUR</v>
      </c>
      <c r="H315" t="str">
        <f>"17/11/2016 - 30/11/2016"</f>
        <v>17/11/2016 - 30/11/2016</v>
      </c>
      <c r="I315" t="str">
        <f>"240,00 EUR"</f>
        <v>240,00 EUR</v>
      </c>
    </row>
    <row r="316" spans="1:9" x14ac:dyDescent="0.25">
      <c r="A316" t="str">
        <f>"Z951C13047"</f>
        <v>Z951C13047</v>
      </c>
      <c r="B316" t="str">
        <f t="shared" si="89"/>
        <v>AC Ravenna - 00085710390</v>
      </c>
      <c r="C316" t="str">
        <f>"SERVIZIO SOCI"</f>
        <v>SERVIZIO SOCI</v>
      </c>
      <c r="D316" t="str">
        <f>"23-AFFIDAMENTO DIRETTO"</f>
        <v>23-AFFIDAMENTO DIRETTO</v>
      </c>
      <c r="E316" t="str">
        <f t="shared" si="91"/>
        <v>GAMMA INDIRIZZI SRL - 01048250391</v>
      </c>
      <c r="F316" t="str">
        <f t="shared" si="91"/>
        <v>GAMMA INDIRIZZI SRL - 01048250391</v>
      </c>
      <c r="G316" t="str">
        <f>"239,00 EUR"</f>
        <v>239,00 EUR</v>
      </c>
      <c r="H316" t="str">
        <f>"17/11/2016 - 30/11/2016"</f>
        <v>17/11/2016 - 30/11/2016</v>
      </c>
      <c r="I316" t="str">
        <f>"239,00 EUR"</f>
        <v>239,00 EUR</v>
      </c>
    </row>
    <row r="317" spans="1:9" x14ac:dyDescent="0.25">
      <c r="A317" t="str">
        <f>"ZD21C1300D"</f>
        <v>ZD21C1300D</v>
      </c>
      <c r="B317" t="str">
        <f t="shared" si="89"/>
        <v>AC Ravenna - 00085710390</v>
      </c>
      <c r="C317" t="str">
        <f>"SERVIZIO BOLSE"</f>
        <v>SERVIZIO BOLSE</v>
      </c>
      <c r="D317" t="str">
        <f>"26-AFFIDAMENTO DIRETTO IN ADESIONE AD ACCORDO QUADRO/CONVENZIONE"</f>
        <v>26-AFFIDAMENTO DIRETTO IN ADESIONE AD ACCORDO QUADRO/CONVENZIONE</v>
      </c>
      <c r="E317" t="str">
        <f t="shared" si="91"/>
        <v>GAMMA INDIRIZZI SRL - 01048250391</v>
      </c>
      <c r="F317" t="str">
        <f t="shared" si="91"/>
        <v>GAMMA INDIRIZZI SRL - 01048250391</v>
      </c>
      <c r="G317" t="str">
        <f>"434,00 EUR"</f>
        <v>434,00 EUR</v>
      </c>
      <c r="H317" t="str">
        <f>"17/11/2016 - 30/11/2016"</f>
        <v>17/11/2016 - 30/11/2016</v>
      </c>
      <c r="I317" t="str">
        <f>"434,00 EUR"</f>
        <v>434,00 EUR</v>
      </c>
    </row>
    <row r="318" spans="1:9" x14ac:dyDescent="0.25">
      <c r="A318" t="str">
        <f>"Z331BF21D3"</f>
        <v>Z331BF21D3</v>
      </c>
      <c r="B318" t="str">
        <f t="shared" si="89"/>
        <v>AC Ravenna - 00085710390</v>
      </c>
      <c r="C318" t="str">
        <f>"MODULISTICA A.A."</f>
        <v>MODULISTICA A.A.</v>
      </c>
      <c r="D318" t="str">
        <f t="shared" ref="D318:D349" si="92">"23-AFFIDAMENTO DIRETTO"</f>
        <v>23-AFFIDAMENTO DIRETTO</v>
      </c>
      <c r="E318" t="str">
        <f>"TIPOLITOGRAFIA MAZZANTI S.r.l. - 02091850392"</f>
        <v>TIPOLITOGRAFIA MAZZANTI S.r.l. - 02091850392</v>
      </c>
      <c r="F318" t="str">
        <f>"TIPOLITOGRAFIA MAZZANTI S.r.l. - 02091850392"</f>
        <v>TIPOLITOGRAFIA MAZZANTI S.r.l. - 02091850392</v>
      </c>
      <c r="G318" t="str">
        <f>"160,00 EUR"</f>
        <v>160,00 EUR</v>
      </c>
      <c r="H318" t="str">
        <f>"09/11/2016 - 30/11/2016"</f>
        <v>09/11/2016 - 30/11/2016</v>
      </c>
      <c r="I318" t="str">
        <f>"160,00 EUR"</f>
        <v>160,00 EUR</v>
      </c>
    </row>
    <row r="319" spans="1:9" x14ac:dyDescent="0.25">
      <c r="A319" t="str">
        <f>"Z0E1BF21A8"</f>
        <v>Z0E1BF21A8</v>
      </c>
      <c r="B319" t="str">
        <f t="shared" si="89"/>
        <v>AC Ravenna - 00085710390</v>
      </c>
      <c r="C319" t="str">
        <f>"ACQUISTO CANCELLERIA"</f>
        <v>ACQUISTO CANCELLERIA</v>
      </c>
      <c r="D319" t="str">
        <f t="shared" si="92"/>
        <v>23-AFFIDAMENTO DIRETTO</v>
      </c>
      <c r="E319" t="str">
        <f>"TIPOLITOGRAFIA MAZZANTI S.r.l. - 02091850392"</f>
        <v>TIPOLITOGRAFIA MAZZANTI S.r.l. - 02091850392</v>
      </c>
      <c r="F319" t="str">
        <f>"TIPOLITOGRAFIA MAZZANTI S.r.l. - 02091850392"</f>
        <v>TIPOLITOGRAFIA MAZZANTI S.r.l. - 02091850392</v>
      </c>
      <c r="G319" t="str">
        <f>"50,00 EUR"</f>
        <v>50,00 EUR</v>
      </c>
      <c r="H319" t="str">
        <f>"09/11/2016 - 30/11/2016"</f>
        <v>09/11/2016 - 30/11/2016</v>
      </c>
      <c r="I319" t="str">
        <f>"50,00 EUR"</f>
        <v>50,00 EUR</v>
      </c>
    </row>
    <row r="320" spans="1:9" x14ac:dyDescent="0.25">
      <c r="A320" t="str">
        <f>"ZDE1BDB905"</f>
        <v>ZDE1BDB905</v>
      </c>
      <c r="B320" t="str">
        <f t="shared" si="89"/>
        <v>AC Ravenna - 00085710390</v>
      </c>
      <c r="C320" t="str">
        <f>"SERVIZIO PATENTI"</f>
        <v>SERVIZIO PATENTI</v>
      </c>
      <c r="D320" t="str">
        <f t="shared" si="92"/>
        <v>23-AFFIDAMENTO DIRETTO</v>
      </c>
      <c r="E320" t="str">
        <f t="shared" ref="E320:F322" si="93">"GAMMA INDIRIZZI SRL - 01048250391"</f>
        <v>GAMMA INDIRIZZI SRL - 01048250391</v>
      </c>
      <c r="F320" t="str">
        <f t="shared" si="93"/>
        <v>GAMMA INDIRIZZI SRL - 01048250391</v>
      </c>
      <c r="G320" t="str">
        <f>"299,00 EUR"</f>
        <v>299,00 EUR</v>
      </c>
      <c r="H320" t="str">
        <f>"04/11/2016 - 30/11/2016"</f>
        <v>04/11/2016 - 30/11/2016</v>
      </c>
      <c r="I320" t="str">
        <f>"299,00 EUR"</f>
        <v>299,00 EUR</v>
      </c>
    </row>
    <row r="321" spans="1:9" x14ac:dyDescent="0.25">
      <c r="A321" t="str">
        <f>"Z1D1BDB8F7"</f>
        <v>Z1D1BDB8F7</v>
      </c>
      <c r="B321" t="str">
        <f t="shared" si="89"/>
        <v>AC Ravenna - 00085710390</v>
      </c>
      <c r="C321" t="str">
        <f>"SERVIZIO SOCI"</f>
        <v>SERVIZIO SOCI</v>
      </c>
      <c r="D321" t="str">
        <f t="shared" si="92"/>
        <v>23-AFFIDAMENTO DIRETTO</v>
      </c>
      <c r="E321" t="str">
        <f t="shared" si="93"/>
        <v>GAMMA INDIRIZZI SRL - 01048250391</v>
      </c>
      <c r="F321" t="str">
        <f t="shared" si="93"/>
        <v>GAMMA INDIRIZZI SRL - 01048250391</v>
      </c>
      <c r="G321" t="str">
        <f>"209,00 EUR"</f>
        <v>209,00 EUR</v>
      </c>
      <c r="H321" t="str">
        <f>"04/11/2016 - 30/11/2016"</f>
        <v>04/11/2016 - 30/11/2016</v>
      </c>
      <c r="I321" t="str">
        <f>"209,00 EUR"</f>
        <v>209,00 EUR</v>
      </c>
    </row>
    <row r="322" spans="1:9" x14ac:dyDescent="0.25">
      <c r="A322" t="str">
        <f>"Z981BDB8C8"</f>
        <v>Z981BDB8C8</v>
      </c>
      <c r="B322" t="str">
        <f t="shared" si="89"/>
        <v>AC Ravenna - 00085710390</v>
      </c>
      <c r="C322" t="str">
        <f>"SERVIZIO BOLSE"</f>
        <v>SERVIZIO BOLSE</v>
      </c>
      <c r="D322" t="str">
        <f t="shared" si="92"/>
        <v>23-AFFIDAMENTO DIRETTO</v>
      </c>
      <c r="E322" t="str">
        <f t="shared" si="93"/>
        <v>GAMMA INDIRIZZI SRL - 01048250391</v>
      </c>
      <c r="F322" t="str">
        <f t="shared" si="93"/>
        <v>GAMMA INDIRIZZI SRL - 01048250391</v>
      </c>
      <c r="G322" t="str">
        <f>"1.408,00 EUR"</f>
        <v>1.408,00 EUR</v>
      </c>
      <c r="H322" t="str">
        <f>"04/11/2016 - 30/11/2016"</f>
        <v>04/11/2016 - 30/11/2016</v>
      </c>
      <c r="I322" t="str">
        <f>"1.408,00 EUR"</f>
        <v>1.408,00 EUR</v>
      </c>
    </row>
    <row r="323" spans="1:9" x14ac:dyDescent="0.25">
      <c r="A323" t="str">
        <f>"Z9F1BC9E55"</f>
        <v>Z9F1BC9E55</v>
      </c>
      <c r="B323" t="str">
        <f t="shared" si="89"/>
        <v>AC Ravenna - 00085710390</v>
      </c>
      <c r="C323" t="str">
        <f>"OMAGGIO CAMPAGNA SOCIALE 2017"</f>
        <v>OMAGGIO CAMPAGNA SOCIALE 2017</v>
      </c>
      <c r="D323" t="str">
        <f t="shared" si="92"/>
        <v>23-AFFIDAMENTO DIRETTO</v>
      </c>
      <c r="E323" t="str">
        <f>"ADHOC SRL - 06321371004"</f>
        <v>ADHOC SRL - 06321371004</v>
      </c>
      <c r="F323" t="str">
        <f>"ADHOC SRL - 06321371004"</f>
        <v>ADHOC SRL - 06321371004</v>
      </c>
      <c r="G323" t="str">
        <f>"11.200,00 EUR"</f>
        <v>11.200,00 EUR</v>
      </c>
      <c r="H323" t="str">
        <f>"28/10/2016 - 28/02/2017"</f>
        <v>28/10/2016 - 28/02/2017</v>
      </c>
      <c r="I323" t="str">
        <f>"0,00 EUR"</f>
        <v>0,00 EUR</v>
      </c>
    </row>
    <row r="324" spans="1:9" x14ac:dyDescent="0.25">
      <c r="A324" t="str">
        <f>"Z011BC6DDD"</f>
        <v>Z011BC6DDD</v>
      </c>
      <c r="B324" t="str">
        <f t="shared" si="89"/>
        <v>AC Ravenna - 00085710390</v>
      </c>
      <c r="C324" t="str">
        <f>"PULIZIE SEDE"</f>
        <v>PULIZIE SEDE</v>
      </c>
      <c r="D324" t="str">
        <f t="shared" si="92"/>
        <v>23-AFFIDAMENTO DIRETTO</v>
      </c>
      <c r="E324" t="str">
        <f>"CENTRO IGIENE S.r.l. - 02368400392"</f>
        <v>CENTRO IGIENE S.r.l. - 02368400392</v>
      </c>
      <c r="F324" t="str">
        <f>"CENTRO IGIENE S.r.l. - 02368400392"</f>
        <v>CENTRO IGIENE S.r.l. - 02368400392</v>
      </c>
      <c r="G324" t="str">
        <f>"1.375,00 EUR"</f>
        <v>1.375,00 EUR</v>
      </c>
      <c r="H324" t="str">
        <f>"27/10/2016 - 31/10/2016"</f>
        <v>27/10/2016 - 31/10/2016</v>
      </c>
      <c r="I324" t="str">
        <f>"1.375,00 EUR"</f>
        <v>1.375,00 EUR</v>
      </c>
    </row>
    <row r="325" spans="1:9" x14ac:dyDescent="0.25">
      <c r="A325" t="str">
        <f>"Z041A574D7"</f>
        <v>Z041A574D7</v>
      </c>
      <c r="B325" t="str">
        <f t="shared" si="89"/>
        <v>AC Ravenna - 00085710390</v>
      </c>
      <c r="C325" t="str">
        <f>"MANUTENZIONE IMMOBILE"</f>
        <v>MANUTENZIONE IMMOBILE</v>
      </c>
      <c r="D325" t="str">
        <f t="shared" si="92"/>
        <v>23-AFFIDAMENTO DIRETTO</v>
      </c>
      <c r="E325" t="str">
        <f>"BACCHETTA GAETANO - BCCGTN67L23H199I"</f>
        <v>BACCHETTA GAETANO - BCCGTN67L23H199I</v>
      </c>
      <c r="F325" t="str">
        <f>"BACCHETTA GAETANO - BCCGTN67L23H199I"</f>
        <v>BACCHETTA GAETANO - BCCGTN67L23H199I</v>
      </c>
      <c r="G325" t="str">
        <f>"205,00 EUR"</f>
        <v>205,00 EUR</v>
      </c>
      <c r="H325" t="str">
        <f>"20/06/2016 - 20/07/2016"</f>
        <v>20/06/2016 - 20/07/2016</v>
      </c>
      <c r="I325" t="str">
        <f>"205,00 EUR"</f>
        <v>205,00 EUR</v>
      </c>
    </row>
    <row r="326" spans="1:9" x14ac:dyDescent="0.25">
      <c r="A326" t="str">
        <f>"ZA11B61922"</f>
        <v>ZA11B61922</v>
      </c>
      <c r="B326" t="str">
        <f t="shared" si="89"/>
        <v>AC Ravenna - 00085710390</v>
      </c>
      <c r="C326" t="str">
        <f>"ACQUISTO HARDWARE"</f>
        <v>ACQUISTO HARDWARE</v>
      </c>
      <c r="D326" t="str">
        <f t="shared" si="92"/>
        <v>23-AFFIDAMENTO DIRETTO</v>
      </c>
      <c r="E326" t="str">
        <f>"HARVARD SERVICE S.r.l. - 02054730409"</f>
        <v>HARVARD SERVICE S.r.l. - 02054730409</v>
      </c>
      <c r="F326" t="str">
        <f>"HARVARD SERVICE S.r.l. - 02054730409"</f>
        <v>HARVARD SERVICE S.r.l. - 02054730409</v>
      </c>
      <c r="G326" t="str">
        <f>"205,00 EUR"</f>
        <v>205,00 EUR</v>
      </c>
      <c r="H326" t="str">
        <f>"29/09/2016 - 29/09/2016"</f>
        <v>29/09/2016 - 29/09/2016</v>
      </c>
      <c r="I326" t="str">
        <f>"205,00 EUR"</f>
        <v>205,00 EUR</v>
      </c>
    </row>
    <row r="327" spans="1:9" x14ac:dyDescent="0.25">
      <c r="A327" t="str">
        <f>"ZE71B6195F"</f>
        <v>ZE71B6195F</v>
      </c>
      <c r="B327" t="str">
        <f t="shared" si="89"/>
        <v>AC Ravenna - 00085710390</v>
      </c>
      <c r="C327" t="str">
        <f>"ASSISTENZA HARVARD"</f>
        <v>ASSISTENZA HARVARD</v>
      </c>
      <c r="D327" t="str">
        <f t="shared" si="92"/>
        <v>23-AFFIDAMENTO DIRETTO</v>
      </c>
      <c r="E327" t="str">
        <f>"HARVARD SERVICE S.r.l. - 02054730409"</f>
        <v>HARVARD SERVICE S.r.l. - 02054730409</v>
      </c>
      <c r="F327" t="str">
        <f>"HARVARD SERVICE S.r.l. - 02054730409"</f>
        <v>HARVARD SERVICE S.r.l. - 02054730409</v>
      </c>
      <c r="G327" t="str">
        <f>"400,00 EUR"</f>
        <v>400,00 EUR</v>
      </c>
      <c r="H327" t="str">
        <f>"29/09/2016 - 30/09/2016"</f>
        <v>29/09/2016 - 30/09/2016</v>
      </c>
      <c r="I327" t="str">
        <f>"400,00 EUR"</f>
        <v>400,00 EUR</v>
      </c>
    </row>
    <row r="328" spans="1:9" x14ac:dyDescent="0.25">
      <c r="A328" t="str">
        <f>"Z601B51D48"</f>
        <v>Z601B51D48</v>
      </c>
      <c r="B328" t="str">
        <f t="shared" si="89"/>
        <v>AC Ravenna - 00085710390</v>
      </c>
      <c r="C328" t="str">
        <f>"ACQUISTO SOFTWARE"</f>
        <v>ACQUISTO SOFTWARE</v>
      </c>
      <c r="D328" t="str">
        <f t="shared" si="92"/>
        <v>23-AFFIDAMENTO DIRETTO</v>
      </c>
      <c r="E328" t="str">
        <f>"HARVARD GROUP S.r.l. - 02254110402"</f>
        <v>HARVARD GROUP S.r.l. - 02254110402</v>
      </c>
      <c r="F328" t="str">
        <f>"HARVARD GROUP S.r.l. - 02254110402"</f>
        <v>HARVARD GROUP S.r.l. - 02254110402</v>
      </c>
      <c r="G328" t="str">
        <f>"338,00 EUR"</f>
        <v>338,00 EUR</v>
      </c>
      <c r="H328" t="str">
        <f>"22/09/2016 - 30/09/2016"</f>
        <v>22/09/2016 - 30/09/2016</v>
      </c>
      <c r="I328" t="str">
        <f>"338,00 EUR"</f>
        <v>338,00 EUR</v>
      </c>
    </row>
    <row r="329" spans="1:9" x14ac:dyDescent="0.25">
      <c r="A329" t="str">
        <f>"ZBC1B4AADA"</f>
        <v>ZBC1B4AADA</v>
      </c>
      <c r="B329" t="str">
        <f t="shared" si="89"/>
        <v>AC Ravenna - 00085710390</v>
      </c>
      <c r="C329" t="str">
        <f>"PULIZIE LOCALI"</f>
        <v>PULIZIE LOCALI</v>
      </c>
      <c r="D329" t="str">
        <f t="shared" si="92"/>
        <v>23-AFFIDAMENTO DIRETTO</v>
      </c>
      <c r="E329" t="str">
        <f>"CENTRO IGIENE S.r.l. - 02368400392"</f>
        <v>CENTRO IGIENE S.r.l. - 02368400392</v>
      </c>
      <c r="F329" t="str">
        <f>"CENTRO IGIENE S.r.l. - 02368400392"</f>
        <v>CENTRO IGIENE S.r.l. - 02368400392</v>
      </c>
      <c r="G329" t="str">
        <f>"1.375,00 EUR"</f>
        <v>1.375,00 EUR</v>
      </c>
      <c r="H329" t="str">
        <f>"23/09/2016 - 30/09/2016"</f>
        <v>23/09/2016 - 30/09/2016</v>
      </c>
      <c r="I329" t="str">
        <f>"1.375,00 EUR"</f>
        <v>1.375,00 EUR</v>
      </c>
    </row>
    <row r="330" spans="1:9" x14ac:dyDescent="0.25">
      <c r="A330" t="str">
        <f>"ZEE1B46016"</f>
        <v>ZEE1B46016</v>
      </c>
      <c r="B330" t="str">
        <f t="shared" si="89"/>
        <v>AC Ravenna - 00085710390</v>
      </c>
      <c r="C330" t="str">
        <f>"SERVIZIO SPEDIZIONE BOLSE"</f>
        <v>SERVIZIO SPEDIZIONE BOLSE</v>
      </c>
      <c r="D330" t="str">
        <f t="shared" si="92"/>
        <v>23-AFFIDAMENTO DIRETTO</v>
      </c>
      <c r="E330" t="str">
        <f t="shared" ref="E330:F332" si="94">"GAMMA INDIRIZZI SRL - 01048250391"</f>
        <v>GAMMA INDIRIZZI SRL - 01048250391</v>
      </c>
      <c r="F330" t="str">
        <f t="shared" si="94"/>
        <v>GAMMA INDIRIZZI SRL - 01048250391</v>
      </c>
      <c r="G330" t="str">
        <f>"572,00 EUR"</f>
        <v>572,00 EUR</v>
      </c>
      <c r="H330" t="str">
        <f>"22/09/2016 - 30/09/2016"</f>
        <v>22/09/2016 - 30/09/2016</v>
      </c>
      <c r="I330" t="str">
        <f>"572,00 EUR"</f>
        <v>572,00 EUR</v>
      </c>
    </row>
    <row r="331" spans="1:9" x14ac:dyDescent="0.25">
      <c r="A331" t="str">
        <f>"Z2A1B46034"</f>
        <v>Z2A1B46034</v>
      </c>
      <c r="B331" t="str">
        <f t="shared" si="89"/>
        <v>AC Ravenna - 00085710390</v>
      </c>
      <c r="C331" t="str">
        <f>"SERVIZIO SPEDIZIONE PATENTI"</f>
        <v>SERVIZIO SPEDIZIONE PATENTI</v>
      </c>
      <c r="D331" t="str">
        <f t="shared" si="92"/>
        <v>23-AFFIDAMENTO DIRETTO</v>
      </c>
      <c r="E331" t="str">
        <f t="shared" si="94"/>
        <v>GAMMA INDIRIZZI SRL - 01048250391</v>
      </c>
      <c r="F331" t="str">
        <f t="shared" si="94"/>
        <v>GAMMA INDIRIZZI SRL - 01048250391</v>
      </c>
      <c r="G331" t="str">
        <f>"525,00 EUR"</f>
        <v>525,00 EUR</v>
      </c>
      <c r="H331" t="str">
        <f>"22/09/2016 - 30/09/2016"</f>
        <v>22/09/2016 - 30/09/2016</v>
      </c>
      <c r="I331" t="str">
        <f>"525,00 EUR"</f>
        <v>525,00 EUR</v>
      </c>
    </row>
    <row r="332" spans="1:9" x14ac:dyDescent="0.25">
      <c r="A332" t="str">
        <f>"ZA91B4601E"</f>
        <v>ZA91B4601E</v>
      </c>
      <c r="B332" t="str">
        <f t="shared" si="89"/>
        <v>AC Ravenna - 00085710390</v>
      </c>
      <c r="C332" t="str">
        <f>"SERVIZIO SPEDIZIONE SOCI"</f>
        <v>SERVIZIO SPEDIZIONE SOCI</v>
      </c>
      <c r="D332" t="str">
        <f t="shared" si="92"/>
        <v>23-AFFIDAMENTO DIRETTO</v>
      </c>
      <c r="E332" t="str">
        <f t="shared" si="94"/>
        <v>GAMMA INDIRIZZI SRL - 01048250391</v>
      </c>
      <c r="F332" t="str">
        <f t="shared" si="94"/>
        <v>GAMMA INDIRIZZI SRL - 01048250391</v>
      </c>
      <c r="G332" t="str">
        <f>"233,00 EUR"</f>
        <v>233,00 EUR</v>
      </c>
      <c r="H332" t="str">
        <f>"22/09/2016 - 30/09/2016"</f>
        <v>22/09/2016 - 30/09/2016</v>
      </c>
      <c r="I332" t="str">
        <f>"233,00 EUR"</f>
        <v>233,00 EUR</v>
      </c>
    </row>
    <row r="333" spans="1:9" x14ac:dyDescent="0.25">
      <c r="A333" t="str">
        <f>"Z331B12331"</f>
        <v>Z331B12331</v>
      </c>
      <c r="B333" t="str">
        <f t="shared" si="89"/>
        <v>AC Ravenna - 00085710390</v>
      </c>
      <c r="C333" t="str">
        <f>"MANUTENZIONE IMPIANTO TELEFONICO"</f>
        <v>MANUTENZIONE IMPIANTO TELEFONICO</v>
      </c>
      <c r="D333" t="str">
        <f t="shared" si="92"/>
        <v>23-AFFIDAMENTO DIRETTO</v>
      </c>
      <c r="E333" t="str">
        <f>"ECIS ELETTRONICA SAS - 01400920391"</f>
        <v>ECIS ELETTRONICA SAS - 01400920391</v>
      </c>
      <c r="F333" t="str">
        <f>"ECIS ELETTRONICA SAS - 01400920391"</f>
        <v>ECIS ELETTRONICA SAS - 01400920391</v>
      </c>
      <c r="G333" t="str">
        <f>"300,00 EUR"</f>
        <v>300,00 EUR</v>
      </c>
      <c r="H333" t="str">
        <f>"05/09/2016 - 30/09/2016"</f>
        <v>05/09/2016 - 30/09/2016</v>
      </c>
      <c r="I333" t="str">
        <f>"300,00 EUR"</f>
        <v>300,00 EUR</v>
      </c>
    </row>
    <row r="334" spans="1:9" x14ac:dyDescent="0.25">
      <c r="A334" t="str">
        <f>"Z451B12324"</f>
        <v>Z451B12324</v>
      </c>
      <c r="B334" t="str">
        <f t="shared" si="89"/>
        <v>AC Ravenna - 00085710390</v>
      </c>
      <c r="C334" t="str">
        <f>"MANUTENZIONE IMPIANTI"</f>
        <v>MANUTENZIONE IMPIANTI</v>
      </c>
      <c r="D334" t="str">
        <f t="shared" si="92"/>
        <v>23-AFFIDAMENTO DIRETTO</v>
      </c>
      <c r="E334" t="str">
        <f>"MORGAGNI BENIAMINO - MRGBMN61C31H199N"</f>
        <v>MORGAGNI BENIAMINO - MRGBMN61C31H199N</v>
      </c>
      <c r="F334" t="str">
        <f>"MORGAGNI BENIAMINO - MRGBMN61C31H199N"</f>
        <v>MORGAGNI BENIAMINO - MRGBMN61C31H199N</v>
      </c>
      <c r="G334" t="str">
        <f>"105,00 EUR"</f>
        <v>105,00 EUR</v>
      </c>
      <c r="H334" t="str">
        <f>"05/09/2016 - 30/09/2016"</f>
        <v>05/09/2016 - 30/09/2016</v>
      </c>
      <c r="I334" t="str">
        <f>"105,00 EUR"</f>
        <v>105,00 EUR</v>
      </c>
    </row>
    <row r="335" spans="1:9" x14ac:dyDescent="0.25">
      <c r="A335" t="str">
        <f>"Z5A1B00E6D"</f>
        <v>Z5A1B00E6D</v>
      </c>
      <c r="B335" t="str">
        <f t="shared" si="89"/>
        <v>AC Ravenna - 00085710390</v>
      </c>
      <c r="C335" t="str">
        <f>"PULIZIE LOCALI"</f>
        <v>PULIZIE LOCALI</v>
      </c>
      <c r="D335" t="str">
        <f t="shared" si="92"/>
        <v>23-AFFIDAMENTO DIRETTO</v>
      </c>
      <c r="E335" t="str">
        <f>"CENTRO IGIENE S.r.l. - 02368400392"</f>
        <v>CENTRO IGIENE S.r.l. - 02368400392</v>
      </c>
      <c r="F335" t="str">
        <f>"CENTRO IGIENE S.r.l. - 02368400392"</f>
        <v>CENTRO IGIENE S.r.l. - 02368400392</v>
      </c>
      <c r="G335" t="str">
        <f>"1.375,00 EUR"</f>
        <v>1.375,00 EUR</v>
      </c>
      <c r="H335" t="str">
        <f>"01/08/2016 - 31/08/2016"</f>
        <v>01/08/2016 - 31/08/2016</v>
      </c>
      <c r="I335" t="str">
        <f>"1.375,00 EUR"</f>
        <v>1.375,00 EUR</v>
      </c>
    </row>
    <row r="336" spans="1:9" x14ac:dyDescent="0.25">
      <c r="A336" t="str">
        <f>"ZE81AEF125"</f>
        <v>ZE81AEF125</v>
      </c>
      <c r="B336" t="str">
        <f t="shared" si="89"/>
        <v>AC Ravenna - 00085710390</v>
      </c>
      <c r="C336" t="str">
        <f>"SERVIZIO SPEDIZONE BOLSE"</f>
        <v>SERVIZIO SPEDIZONE BOLSE</v>
      </c>
      <c r="D336" t="str">
        <f t="shared" si="92"/>
        <v>23-AFFIDAMENTO DIRETTO</v>
      </c>
      <c r="E336" t="str">
        <f t="shared" ref="E336:F338" si="95">"GAMMA INDIRIZZI SRL - 01048250391"</f>
        <v>GAMMA INDIRIZZI SRL - 01048250391</v>
      </c>
      <c r="F336" t="str">
        <f t="shared" si="95"/>
        <v>GAMMA INDIRIZZI SRL - 01048250391</v>
      </c>
      <c r="G336" t="str">
        <f>"1.471,00 EUR"</f>
        <v>1.471,00 EUR</v>
      </c>
      <c r="H336" t="str">
        <f>"16/08/2016 - 31/08/2016"</f>
        <v>16/08/2016 - 31/08/2016</v>
      </c>
      <c r="I336" t="str">
        <f>"1.471,00 EUR"</f>
        <v>1.471,00 EUR</v>
      </c>
    </row>
    <row r="337" spans="1:9" x14ac:dyDescent="0.25">
      <c r="A337" t="str">
        <f>"ZB91AEF139"</f>
        <v>ZB91AEF139</v>
      </c>
      <c r="B337" t="str">
        <f t="shared" si="89"/>
        <v>AC Ravenna - 00085710390</v>
      </c>
      <c r="C337" t="str">
        <f>"SERVIZIO SPEDIZIONI UFF.SOCI"</f>
        <v>SERVIZIO SPEDIZIONI UFF.SOCI</v>
      </c>
      <c r="D337" t="str">
        <f t="shared" si="92"/>
        <v>23-AFFIDAMENTO DIRETTO</v>
      </c>
      <c r="E337" t="str">
        <f t="shared" si="95"/>
        <v>GAMMA INDIRIZZI SRL - 01048250391</v>
      </c>
      <c r="F337" t="str">
        <f t="shared" si="95"/>
        <v>GAMMA INDIRIZZI SRL - 01048250391</v>
      </c>
      <c r="G337" t="str">
        <f>"260,00 EUR"</f>
        <v>260,00 EUR</v>
      </c>
      <c r="H337" t="str">
        <f>"16/08/2016 - 31/08/2016"</f>
        <v>16/08/2016 - 31/08/2016</v>
      </c>
      <c r="I337" t="str">
        <f>"260,00 EUR"</f>
        <v>260,00 EUR</v>
      </c>
    </row>
    <row r="338" spans="1:9" x14ac:dyDescent="0.25">
      <c r="A338" t="str">
        <f>"Z241AEF143"</f>
        <v>Z241AEF143</v>
      </c>
      <c r="B338" t="str">
        <f t="shared" si="89"/>
        <v>AC Ravenna - 00085710390</v>
      </c>
      <c r="C338" t="str">
        <f>"SERVIZIO SPEDIZIONE PATENTI"</f>
        <v>SERVIZIO SPEDIZIONE PATENTI</v>
      </c>
      <c r="D338" t="str">
        <f t="shared" si="92"/>
        <v>23-AFFIDAMENTO DIRETTO</v>
      </c>
      <c r="E338" t="str">
        <f t="shared" si="95"/>
        <v>GAMMA INDIRIZZI SRL - 01048250391</v>
      </c>
      <c r="F338" t="str">
        <f t="shared" si="95"/>
        <v>GAMMA INDIRIZZI SRL - 01048250391</v>
      </c>
      <c r="G338" t="str">
        <f>"305,00 EUR"</f>
        <v>305,00 EUR</v>
      </c>
      <c r="H338" t="str">
        <f>"16/08/2016 - 31/08/2016"</f>
        <v>16/08/2016 - 31/08/2016</v>
      </c>
      <c r="I338" t="str">
        <f>"305,00 EUR"</f>
        <v>305,00 EUR</v>
      </c>
    </row>
    <row r="339" spans="1:9" x14ac:dyDescent="0.25">
      <c r="A339" t="str">
        <f>"Z081AEC95C"</f>
        <v>Z081AEC95C</v>
      </c>
      <c r="B339" t="str">
        <f t="shared" si="89"/>
        <v>AC Ravenna - 00085710390</v>
      </c>
      <c r="C339" t="str">
        <f>"Manut.impianti"</f>
        <v>Manut.impianti</v>
      </c>
      <c r="D339" t="str">
        <f t="shared" si="92"/>
        <v>23-AFFIDAMENTO DIRETTO</v>
      </c>
      <c r="E339" t="str">
        <f>"NILO TERMOIDRAULICA SRL - 02500700394"</f>
        <v>NILO TERMOIDRAULICA SRL - 02500700394</v>
      </c>
      <c r="F339" t="str">
        <f>"NILO TERMOIDRAULICA SRL - 02500700394"</f>
        <v>NILO TERMOIDRAULICA SRL - 02500700394</v>
      </c>
      <c r="G339" t="str">
        <f>"587,00 EUR"</f>
        <v>587,00 EUR</v>
      </c>
      <c r="H339" t="str">
        <f>"12/08/2016 - 30/08/2016"</f>
        <v>12/08/2016 - 30/08/2016</v>
      </c>
      <c r="I339" t="str">
        <f>"587,00 EUR"</f>
        <v>587,00 EUR</v>
      </c>
    </row>
    <row r="340" spans="1:9" x14ac:dyDescent="0.25">
      <c r="A340" t="str">
        <f>"ZF21ACEC31"</f>
        <v>ZF21ACEC31</v>
      </c>
      <c r="B340" t="str">
        <f t="shared" si="89"/>
        <v>AC Ravenna - 00085710390</v>
      </c>
      <c r="C340" t="str">
        <f>"SERVIZIO SPEDIZIONI BOLSE"</f>
        <v>SERVIZIO SPEDIZIONI BOLSE</v>
      </c>
      <c r="D340" t="str">
        <f t="shared" si="92"/>
        <v>23-AFFIDAMENTO DIRETTO</v>
      </c>
      <c r="E340" t="str">
        <f t="shared" ref="E340:F342" si="96">"GAMMA INDIRIZZI SRL - 01048250391"</f>
        <v>GAMMA INDIRIZZI SRL - 01048250391</v>
      </c>
      <c r="F340" t="str">
        <f t="shared" si="96"/>
        <v>GAMMA INDIRIZZI SRL - 01048250391</v>
      </c>
      <c r="G340" t="str">
        <f>"589,00 EUR"</f>
        <v>589,00 EUR</v>
      </c>
      <c r="H340" t="str">
        <f>"29/07/2016 - 30/07/2016"</f>
        <v>29/07/2016 - 30/07/2016</v>
      </c>
      <c r="I340" t="str">
        <f>"589,00 EUR"</f>
        <v>589,00 EUR</v>
      </c>
    </row>
    <row r="341" spans="1:9" x14ac:dyDescent="0.25">
      <c r="A341" t="str">
        <f>"Z651ACEC6D"</f>
        <v>Z651ACEC6D</v>
      </c>
      <c r="B341" t="str">
        <f t="shared" si="89"/>
        <v>AC Ravenna - 00085710390</v>
      </c>
      <c r="C341" t="str">
        <f>"SERVIZIO SPEDIZIONI SOCI"</f>
        <v>SERVIZIO SPEDIZIONI SOCI</v>
      </c>
      <c r="D341" t="str">
        <f t="shared" si="92"/>
        <v>23-AFFIDAMENTO DIRETTO</v>
      </c>
      <c r="E341" t="str">
        <f t="shared" si="96"/>
        <v>GAMMA INDIRIZZI SRL - 01048250391</v>
      </c>
      <c r="F341" t="str">
        <f t="shared" si="96"/>
        <v>GAMMA INDIRIZZI SRL - 01048250391</v>
      </c>
      <c r="G341" t="str">
        <f>"173,00 EUR"</f>
        <v>173,00 EUR</v>
      </c>
      <c r="H341" t="str">
        <f>"29/07/2016 - 31/07/2016"</f>
        <v>29/07/2016 - 31/07/2016</v>
      </c>
      <c r="I341" t="str">
        <f>"173,00 EUR"</f>
        <v>173,00 EUR</v>
      </c>
    </row>
    <row r="342" spans="1:9" x14ac:dyDescent="0.25">
      <c r="A342" t="str">
        <f>"Z4C1ACEC8D"</f>
        <v>Z4C1ACEC8D</v>
      </c>
      <c r="B342" t="str">
        <f t="shared" si="89"/>
        <v>AC Ravenna - 00085710390</v>
      </c>
      <c r="C342" t="str">
        <f>"SERVIZIO SPEDIZIONE PATENTI"</f>
        <v>SERVIZIO SPEDIZIONE PATENTI</v>
      </c>
      <c r="D342" t="str">
        <f t="shared" si="92"/>
        <v>23-AFFIDAMENTO DIRETTO</v>
      </c>
      <c r="E342" t="str">
        <f t="shared" si="96"/>
        <v>GAMMA INDIRIZZI SRL - 01048250391</v>
      </c>
      <c r="F342" t="str">
        <f t="shared" si="96"/>
        <v>GAMMA INDIRIZZI SRL - 01048250391</v>
      </c>
      <c r="G342" t="str">
        <f>"1.030,00 EUR"</f>
        <v>1.030,00 EUR</v>
      </c>
      <c r="H342" t="str">
        <f>"29/07/2016 - 31/07/2016"</f>
        <v>29/07/2016 - 31/07/2016</v>
      </c>
      <c r="I342" t="str">
        <f>"1.030,00 EUR"</f>
        <v>1.030,00 EUR</v>
      </c>
    </row>
    <row r="343" spans="1:9" x14ac:dyDescent="0.25">
      <c r="A343" t="str">
        <f>"ZE81AC73D7"</f>
        <v>ZE81AC73D7</v>
      </c>
      <c r="B343" t="str">
        <f t="shared" si="89"/>
        <v>AC Ravenna - 00085710390</v>
      </c>
      <c r="C343" t="str">
        <f>"MANUTENZIONE IMMOBILE"</f>
        <v>MANUTENZIONE IMMOBILE</v>
      </c>
      <c r="D343" t="str">
        <f t="shared" si="92"/>
        <v>23-AFFIDAMENTO DIRETTO</v>
      </c>
      <c r="E343" t="str">
        <f>"NUOVA OLP IMPIANTI SRL - 01478520396"</f>
        <v>NUOVA OLP IMPIANTI SRL - 01478520396</v>
      </c>
      <c r="F343" t="str">
        <f>"NUOVA OLP IMPIANTI SRL - 01478520396"</f>
        <v>NUOVA OLP IMPIANTI SRL - 01478520396</v>
      </c>
      <c r="G343" t="str">
        <f>"56,00 EUR"</f>
        <v>56,00 EUR</v>
      </c>
      <c r="H343" t="str">
        <f>"28/07/2016 - 31/07/2016"</f>
        <v>28/07/2016 - 31/07/2016</v>
      </c>
      <c r="I343" t="str">
        <f>"56,00 EUR"</f>
        <v>56,00 EUR</v>
      </c>
    </row>
    <row r="344" spans="1:9" x14ac:dyDescent="0.25">
      <c r="A344" t="str">
        <f>"Z901ABBD49"</f>
        <v>Z901ABBD49</v>
      </c>
      <c r="B344" t="str">
        <f t="shared" si="89"/>
        <v>AC Ravenna - 00085710390</v>
      </c>
      <c r="C344" t="str">
        <f>"PULIZIE LOCALI"</f>
        <v>PULIZIE LOCALI</v>
      </c>
      <c r="D344" t="str">
        <f t="shared" si="92"/>
        <v>23-AFFIDAMENTO DIRETTO</v>
      </c>
      <c r="E344" t="str">
        <f>"CENTRO IGIENE S.r.l. - 02368400392"</f>
        <v>CENTRO IGIENE S.r.l. - 02368400392</v>
      </c>
      <c r="F344" t="str">
        <f>"CENTRO IGIENE S.r.l. - 02368400392"</f>
        <v>CENTRO IGIENE S.r.l. - 02368400392</v>
      </c>
      <c r="G344" t="str">
        <f>"1.375,00 EUR"</f>
        <v>1.375,00 EUR</v>
      </c>
      <c r="H344" t="str">
        <f>"01/07/2016 - 31/07/2016"</f>
        <v>01/07/2016 - 31/07/2016</v>
      </c>
      <c r="I344" t="str">
        <f>"1.375,00 EUR"</f>
        <v>1.375,00 EUR</v>
      </c>
    </row>
    <row r="345" spans="1:9" x14ac:dyDescent="0.25">
      <c r="A345" t="str">
        <f>"Z241AAFC70"</f>
        <v>Z241AAFC70</v>
      </c>
      <c r="B345" t="str">
        <f t="shared" si="89"/>
        <v>AC Ravenna - 00085710390</v>
      </c>
      <c r="C345" t="str">
        <f>"ACQUISTO SOFTWARE"</f>
        <v>ACQUISTO SOFTWARE</v>
      </c>
      <c r="D345" t="str">
        <f t="shared" si="92"/>
        <v>23-AFFIDAMENTO DIRETTO</v>
      </c>
      <c r="E345" t="str">
        <f>"HARVARD GROUP S.r.l. - 02254110402"</f>
        <v>HARVARD GROUP S.r.l. - 02254110402</v>
      </c>
      <c r="F345" t="str">
        <f>"HARVARD GROUP S.r.l. - 02254110402"</f>
        <v>HARVARD GROUP S.r.l. - 02254110402</v>
      </c>
      <c r="G345" t="str">
        <f>"270,00 EUR"</f>
        <v>270,00 EUR</v>
      </c>
      <c r="H345" t="str">
        <f>"19/07/2016 - 28/12/2016"</f>
        <v>19/07/2016 - 28/12/2016</v>
      </c>
      <c r="I345" t="str">
        <f>"270,00 EUR"</f>
        <v>270,00 EUR</v>
      </c>
    </row>
    <row r="346" spans="1:9" x14ac:dyDescent="0.25">
      <c r="A346" t="str">
        <f>"Z061AAFB37"</f>
        <v>Z061AAFB37</v>
      </c>
      <c r="B346" t="str">
        <f t="shared" si="89"/>
        <v>AC Ravenna - 00085710390</v>
      </c>
      <c r="C346" t="str">
        <f>"FORNITURA STAMPATI"</f>
        <v>FORNITURA STAMPATI</v>
      </c>
      <c r="D346" t="str">
        <f t="shared" si="92"/>
        <v>23-AFFIDAMENTO DIRETTO</v>
      </c>
      <c r="E346" t="str">
        <f>"TIPOLITOGRAFIA MAZZANTI S.r.l. - 02091850392"</f>
        <v>TIPOLITOGRAFIA MAZZANTI S.r.l. - 02091850392</v>
      </c>
      <c r="F346" t="str">
        <f>"TIPOLITOGRAFIA MAZZANTI S.r.l. - 02091850392"</f>
        <v>TIPOLITOGRAFIA MAZZANTI S.r.l. - 02091850392</v>
      </c>
      <c r="G346" t="str">
        <f>"452,00 EUR"</f>
        <v>452,00 EUR</v>
      </c>
      <c r="H346" t="str">
        <f>"19/07/2016 - 31/07/2016"</f>
        <v>19/07/2016 - 31/07/2016</v>
      </c>
      <c r="I346" t="str">
        <f>"452,00 EUR"</f>
        <v>452,00 EUR</v>
      </c>
    </row>
    <row r="347" spans="1:9" x14ac:dyDescent="0.25">
      <c r="A347" t="str">
        <f>"Z171A7041C"</f>
        <v>Z171A7041C</v>
      </c>
      <c r="B347" t="str">
        <f t="shared" si="89"/>
        <v>AC Ravenna - 00085710390</v>
      </c>
      <c r="C347" t="str">
        <f>"FORNITURA BANDIERE"</f>
        <v>FORNITURA BANDIERE</v>
      </c>
      <c r="D347" t="str">
        <f t="shared" si="92"/>
        <v>23-AFFIDAMENTO DIRETTO</v>
      </c>
      <c r="E347" t="str">
        <f>"ADRIA BANDIERE SRL - 02205060409"</f>
        <v>ADRIA BANDIERE SRL - 02205060409</v>
      </c>
      <c r="F347" t="str">
        <f>"ADRIA BANDIERE SRL - 02205060409"</f>
        <v>ADRIA BANDIERE SRL - 02205060409</v>
      </c>
      <c r="G347" t="str">
        <f>"74,00 EUR"</f>
        <v>74,00 EUR</v>
      </c>
      <c r="H347" t="str">
        <f>"28/06/2016 - 30/06/2016"</f>
        <v>28/06/2016 - 30/06/2016</v>
      </c>
      <c r="I347" t="str">
        <f>"74,00 EUR"</f>
        <v>74,00 EUR</v>
      </c>
    </row>
    <row r="348" spans="1:9" x14ac:dyDescent="0.25">
      <c r="A348" t="str">
        <f>"Z4B1A6B9E2"</f>
        <v>Z4B1A6B9E2</v>
      </c>
      <c r="B348" t="str">
        <f t="shared" si="89"/>
        <v>AC Ravenna - 00085710390</v>
      </c>
      <c r="C348" t="str">
        <f>"SERVIZIO SPEDIZIONE PATENTI"</f>
        <v>SERVIZIO SPEDIZIONE PATENTI</v>
      </c>
      <c r="D348" t="str">
        <f t="shared" si="92"/>
        <v>23-AFFIDAMENTO DIRETTO</v>
      </c>
      <c r="E348" t="str">
        <f t="shared" ref="E348:F350" si="97">"GAMMA INDIRIZZI SRL - 01048250391"</f>
        <v>GAMMA INDIRIZZI SRL - 01048250391</v>
      </c>
      <c r="F348" t="str">
        <f t="shared" si="97"/>
        <v>GAMMA INDIRIZZI SRL - 01048250391</v>
      </c>
      <c r="G348" t="str">
        <f>"309,00 EUR"</f>
        <v>309,00 EUR</v>
      </c>
      <c r="H348" t="str">
        <f>"01/06/2016 - 30/06/2016"</f>
        <v>01/06/2016 - 30/06/2016</v>
      </c>
      <c r="I348" t="str">
        <f>"309,00 EUR"</f>
        <v>309,00 EUR</v>
      </c>
    </row>
    <row r="349" spans="1:9" x14ac:dyDescent="0.25">
      <c r="A349" t="str">
        <f>"Z021A6B9D1"</f>
        <v>Z021A6B9D1</v>
      </c>
      <c r="B349" t="str">
        <f t="shared" si="89"/>
        <v>AC Ravenna - 00085710390</v>
      </c>
      <c r="C349" t="str">
        <f>"SERVIZIO SPEDIZIONE SOCI"</f>
        <v>SERVIZIO SPEDIZIONE SOCI</v>
      </c>
      <c r="D349" t="str">
        <f t="shared" si="92"/>
        <v>23-AFFIDAMENTO DIRETTO</v>
      </c>
      <c r="E349" t="str">
        <f t="shared" si="97"/>
        <v>GAMMA INDIRIZZI SRL - 01048250391</v>
      </c>
      <c r="F349" t="str">
        <f t="shared" si="97"/>
        <v>GAMMA INDIRIZZI SRL - 01048250391</v>
      </c>
      <c r="G349" t="str">
        <f>"238,00 EUR"</f>
        <v>238,00 EUR</v>
      </c>
      <c r="H349" t="str">
        <f>"01/06/2016 - 27/06/2016"</f>
        <v>01/06/2016 - 27/06/2016</v>
      </c>
      <c r="I349" t="str">
        <f>"238,00 EUR"</f>
        <v>238,00 EUR</v>
      </c>
    </row>
    <row r="350" spans="1:9" x14ac:dyDescent="0.25">
      <c r="A350" t="str">
        <f>"Z6B1A6B9AF"</f>
        <v>Z6B1A6B9AF</v>
      </c>
      <c r="B350" t="str">
        <f t="shared" si="89"/>
        <v>AC Ravenna - 00085710390</v>
      </c>
      <c r="C350" t="str">
        <f>"SERVIZIO SPEDIZIONE BOLSE"</f>
        <v>SERVIZIO SPEDIZIONE BOLSE</v>
      </c>
      <c r="D350" t="str">
        <f>"26-AFFIDAMENTO DIRETTO IN ADESIONE AD ACCORDO QUADRO/CONVENZIONE"</f>
        <v>26-AFFIDAMENTO DIRETTO IN ADESIONE AD ACCORDO QUADRO/CONVENZIONE</v>
      </c>
      <c r="E350" t="str">
        <f t="shared" si="97"/>
        <v>GAMMA INDIRIZZI SRL - 01048250391</v>
      </c>
      <c r="F350" t="str">
        <f t="shared" si="97"/>
        <v>GAMMA INDIRIZZI SRL - 01048250391</v>
      </c>
      <c r="G350" t="str">
        <f>"1.347,00 EUR"</f>
        <v>1.347,00 EUR</v>
      </c>
      <c r="H350" t="str">
        <f>"01/06/2016 - 30/06/2016"</f>
        <v>01/06/2016 - 30/06/2016</v>
      </c>
      <c r="I350" t="str">
        <f>"1.347,00 EUR"</f>
        <v>1.347,00 EUR</v>
      </c>
    </row>
    <row r="351" spans="1:9" x14ac:dyDescent="0.25">
      <c r="A351" t="str">
        <f>"Z301A6AAC3"</f>
        <v>Z301A6AAC3</v>
      </c>
      <c r="B351" t="str">
        <f t="shared" si="89"/>
        <v>AC Ravenna - 00085710390</v>
      </c>
      <c r="C351" t="str">
        <f>"PULIZIA LOCALI"</f>
        <v>PULIZIA LOCALI</v>
      </c>
      <c r="D351" t="str">
        <f t="shared" ref="D351:D376" si="98">"23-AFFIDAMENTO DIRETTO"</f>
        <v>23-AFFIDAMENTO DIRETTO</v>
      </c>
      <c r="E351" t="str">
        <f>"CENTRO IGIENE S.r.l. - 02368400392"</f>
        <v>CENTRO IGIENE S.r.l. - 02368400392</v>
      </c>
      <c r="F351" t="str">
        <f>"CENTRO IGIENE S.r.l. - 02368400392"</f>
        <v>CENTRO IGIENE S.r.l. - 02368400392</v>
      </c>
      <c r="G351" t="str">
        <f>"1.375,00 EUR"</f>
        <v>1.375,00 EUR</v>
      </c>
      <c r="H351" t="str">
        <f>"01/06/2016 - 26/06/2016"</f>
        <v>01/06/2016 - 26/06/2016</v>
      </c>
      <c r="I351" t="str">
        <f>"1.375,00 EUR"</f>
        <v>1.375,00 EUR</v>
      </c>
    </row>
    <row r="352" spans="1:9" x14ac:dyDescent="0.25">
      <c r="A352" t="str">
        <f>"ZE61A6AACB"</f>
        <v>ZE61A6AACB</v>
      </c>
      <c r="B352" t="str">
        <f t="shared" si="89"/>
        <v>AC Ravenna - 00085710390</v>
      </c>
      <c r="C352" t="str">
        <f>"SERVIZIO VIGILANZA LOCALI SEDE"</f>
        <v>SERVIZIO VIGILANZA LOCALI SEDE</v>
      </c>
      <c r="D352" t="str">
        <f t="shared" si="98"/>
        <v>23-AFFIDAMENTO DIRETTO</v>
      </c>
      <c r="E352" t="str">
        <f>"I.B.S.ITALIA SRL - 02107450393"</f>
        <v>I.B.S.ITALIA SRL - 02107450393</v>
      </c>
      <c r="F352" t="str">
        <f>"I.B.S.ITALIA SRL - 02107450393"</f>
        <v>I.B.S.ITALIA SRL - 02107450393</v>
      </c>
      <c r="G352" t="str">
        <f>"360,00 EUR"</f>
        <v>360,00 EUR</v>
      </c>
      <c r="H352" t="str">
        <f>"01/07/2016 - 31/12/2016"</f>
        <v>01/07/2016 - 31/12/2016</v>
      </c>
      <c r="I352" t="str">
        <f>"360,00 EUR"</f>
        <v>360,00 EUR</v>
      </c>
    </row>
    <row r="353" spans="1:9" x14ac:dyDescent="0.25">
      <c r="A353" t="str">
        <f>"Z111A173D5"</f>
        <v>Z111A173D5</v>
      </c>
      <c r="B353" t="str">
        <f t="shared" si="89"/>
        <v>AC Ravenna - 00085710390</v>
      </c>
      <c r="C353" t="str">
        <f>"SERVIZIO SPEDIZIONE BOLSE"</f>
        <v>SERVIZIO SPEDIZIONE BOLSE</v>
      </c>
      <c r="D353" t="str">
        <f t="shared" si="98"/>
        <v>23-AFFIDAMENTO DIRETTO</v>
      </c>
      <c r="E353" t="str">
        <f t="shared" ref="E353:F355" si="99">"GAMMA INDIRIZZI SRL - 01048250391"</f>
        <v>GAMMA INDIRIZZI SRL - 01048250391</v>
      </c>
      <c r="F353" t="str">
        <f t="shared" si="99"/>
        <v>GAMMA INDIRIZZI SRL - 01048250391</v>
      </c>
      <c r="G353" t="str">
        <f>"440,00 EUR"</f>
        <v>440,00 EUR</v>
      </c>
      <c r="H353" t="str">
        <f>"30/05/2016 - 30/05/2016"</f>
        <v>30/05/2016 - 30/05/2016</v>
      </c>
      <c r="I353" t="str">
        <f>"440,00 EUR"</f>
        <v>440,00 EUR</v>
      </c>
    </row>
    <row r="354" spans="1:9" x14ac:dyDescent="0.25">
      <c r="A354" t="str">
        <f>"Z7B1A173F8"</f>
        <v>Z7B1A173F8</v>
      </c>
      <c r="B354" t="str">
        <f t="shared" si="89"/>
        <v>AC Ravenna - 00085710390</v>
      </c>
      <c r="C354" t="str">
        <f>"SERVIZIO SPEDIZIONE PATENTI"</f>
        <v>SERVIZIO SPEDIZIONE PATENTI</v>
      </c>
      <c r="D354" t="str">
        <f t="shared" si="98"/>
        <v>23-AFFIDAMENTO DIRETTO</v>
      </c>
      <c r="E354" t="str">
        <f t="shared" si="99"/>
        <v>GAMMA INDIRIZZI SRL - 01048250391</v>
      </c>
      <c r="F354" t="str">
        <f t="shared" si="99"/>
        <v>GAMMA INDIRIZZI SRL - 01048250391</v>
      </c>
      <c r="G354" t="str">
        <f>"555,00 EUR"</f>
        <v>555,00 EUR</v>
      </c>
      <c r="H354" t="str">
        <f>"30/05/2016 - 30/05/2016"</f>
        <v>30/05/2016 - 30/05/2016</v>
      </c>
      <c r="I354" t="str">
        <f>"555,00 EUR"</f>
        <v>555,00 EUR</v>
      </c>
    </row>
    <row r="355" spans="1:9" x14ac:dyDescent="0.25">
      <c r="A355" t="str">
        <f>"ZD21A173E3"</f>
        <v>ZD21A173E3</v>
      </c>
      <c r="B355" t="str">
        <f t="shared" si="89"/>
        <v>AC Ravenna - 00085710390</v>
      </c>
      <c r="C355" t="str">
        <f>"SERVIZIO SPEDIZIONE SOCI"</f>
        <v>SERVIZIO SPEDIZIONE SOCI</v>
      </c>
      <c r="D355" t="str">
        <f t="shared" si="98"/>
        <v>23-AFFIDAMENTO DIRETTO</v>
      </c>
      <c r="E355" t="str">
        <f t="shared" si="99"/>
        <v>GAMMA INDIRIZZI SRL - 01048250391</v>
      </c>
      <c r="F355" t="str">
        <f t="shared" si="99"/>
        <v>GAMMA INDIRIZZI SRL - 01048250391</v>
      </c>
      <c r="G355" t="str">
        <f>"423,00 EUR"</f>
        <v>423,00 EUR</v>
      </c>
      <c r="H355" t="str">
        <f>"30/05/2016 - 30/05/2016"</f>
        <v>30/05/2016 - 30/05/2016</v>
      </c>
      <c r="I355" t="str">
        <f>"423,00 EUR"</f>
        <v>423,00 EUR</v>
      </c>
    </row>
    <row r="356" spans="1:9" x14ac:dyDescent="0.25">
      <c r="A356" t="str">
        <f>"ZE61A0F6E0"</f>
        <v>ZE61A0F6E0</v>
      </c>
      <c r="B356" t="str">
        <f t="shared" si="89"/>
        <v>AC Ravenna - 00085710390</v>
      </c>
      <c r="C356" t="str">
        <f>"PULIZIA LOCALI"</f>
        <v>PULIZIA LOCALI</v>
      </c>
      <c r="D356" t="str">
        <f t="shared" si="98"/>
        <v>23-AFFIDAMENTO DIRETTO</v>
      </c>
      <c r="E356" t="str">
        <f>"CENTRO IGIENE S.r.l. - 02368400392"</f>
        <v>CENTRO IGIENE S.r.l. - 02368400392</v>
      </c>
      <c r="F356" t="str">
        <f>"CENTRO IGIENE S.r.l. - 02368400392"</f>
        <v>CENTRO IGIENE S.r.l. - 02368400392</v>
      </c>
      <c r="G356" t="str">
        <f>"1.375,00 EUR"</f>
        <v>1.375,00 EUR</v>
      </c>
      <c r="H356" t="str">
        <f>"27/05/2016 - 27/05/2016"</f>
        <v>27/05/2016 - 27/05/2016</v>
      </c>
      <c r="I356" t="str">
        <f>"1.375,00 EUR"</f>
        <v>1.375,00 EUR</v>
      </c>
    </row>
    <row r="357" spans="1:9" x14ac:dyDescent="0.25">
      <c r="A357" t="str">
        <f>"ZA119FD89C"</f>
        <v>ZA119FD89C</v>
      </c>
      <c r="B357" t="str">
        <f t="shared" si="89"/>
        <v>AC Ravenna - 00085710390</v>
      </c>
      <c r="C357" t="str">
        <f>"ACQUISTO SOFTWARE"</f>
        <v>ACQUISTO SOFTWARE</v>
      </c>
      <c r="D357" t="str">
        <f t="shared" si="98"/>
        <v>23-AFFIDAMENTO DIRETTO</v>
      </c>
      <c r="E357" t="str">
        <f>"HARVARD GROUP S.r.l. - 02254110402"</f>
        <v>HARVARD GROUP S.r.l. - 02254110402</v>
      </c>
      <c r="F357" t="str">
        <f>"HARVARD GROUP S.r.l. - 02254110402"</f>
        <v>HARVARD GROUP S.r.l. - 02254110402</v>
      </c>
      <c r="G357" t="str">
        <f>"270,00 EUR"</f>
        <v>270,00 EUR</v>
      </c>
      <c r="H357" t="str">
        <f>"23/05/2016 - 23/05/2016"</f>
        <v>23/05/2016 - 23/05/2016</v>
      </c>
      <c r="I357" t="str">
        <f>"270,00 EUR"</f>
        <v>270,00 EUR</v>
      </c>
    </row>
    <row r="358" spans="1:9" x14ac:dyDescent="0.25">
      <c r="A358" t="str">
        <f>"Z1B19DDBE8"</f>
        <v>Z1B19DDBE8</v>
      </c>
      <c r="B358" t="str">
        <f t="shared" si="89"/>
        <v>AC Ravenna - 00085710390</v>
      </c>
      <c r="C358" t="str">
        <f>"SERVIZIO SPEDIZIONE SOCI"</f>
        <v>SERVIZIO SPEDIZIONE SOCI</v>
      </c>
      <c r="D358" t="str">
        <f t="shared" si="98"/>
        <v>23-AFFIDAMENTO DIRETTO</v>
      </c>
      <c r="E358" t="str">
        <f t="shared" ref="E358:F360" si="100">"GAMMA INDIRIZZI SRL - 01048250391"</f>
        <v>GAMMA INDIRIZZI SRL - 01048250391</v>
      </c>
      <c r="F358" t="str">
        <f t="shared" si="100"/>
        <v>GAMMA INDIRIZZI SRL - 01048250391</v>
      </c>
      <c r="G358" t="str">
        <f>"215,00 EUR"</f>
        <v>215,00 EUR</v>
      </c>
      <c r="H358" t="str">
        <f>"13/05/2016 - 13/05/2016"</f>
        <v>13/05/2016 - 13/05/2016</v>
      </c>
      <c r="I358" t="str">
        <f>"215,00 EUR"</f>
        <v>215,00 EUR</v>
      </c>
    </row>
    <row r="359" spans="1:9" x14ac:dyDescent="0.25">
      <c r="A359" t="str">
        <f>"Z8619DDC50"</f>
        <v>Z8619DDC50</v>
      </c>
      <c r="B359" t="str">
        <f t="shared" si="89"/>
        <v>AC Ravenna - 00085710390</v>
      </c>
      <c r="C359" t="str">
        <f>"SERVIZIO SPEDIZIONE PATENTI"</f>
        <v>SERVIZIO SPEDIZIONE PATENTI</v>
      </c>
      <c r="D359" t="str">
        <f t="shared" si="98"/>
        <v>23-AFFIDAMENTO DIRETTO</v>
      </c>
      <c r="E359" t="str">
        <f t="shared" si="100"/>
        <v>GAMMA INDIRIZZI SRL - 01048250391</v>
      </c>
      <c r="F359" t="str">
        <f t="shared" si="100"/>
        <v>GAMMA INDIRIZZI SRL - 01048250391</v>
      </c>
      <c r="G359" t="str">
        <f>"63,00 EUR"</f>
        <v>63,00 EUR</v>
      </c>
      <c r="H359" t="str">
        <f>"13/05/2016 - 14/05/2016"</f>
        <v>13/05/2016 - 14/05/2016</v>
      </c>
      <c r="I359" t="str">
        <f>"63,00 EUR"</f>
        <v>63,00 EUR</v>
      </c>
    </row>
    <row r="360" spans="1:9" x14ac:dyDescent="0.25">
      <c r="A360" t="str">
        <f>"Z3B19DDBB5"</f>
        <v>Z3B19DDBB5</v>
      </c>
      <c r="B360" t="str">
        <f t="shared" si="89"/>
        <v>AC Ravenna - 00085710390</v>
      </c>
      <c r="C360" t="str">
        <f>"SERVIZIO SPEDIZIONE BOLSE"</f>
        <v>SERVIZIO SPEDIZIONE BOLSE</v>
      </c>
      <c r="D360" t="str">
        <f t="shared" si="98"/>
        <v>23-AFFIDAMENTO DIRETTO</v>
      </c>
      <c r="E360" t="str">
        <f t="shared" si="100"/>
        <v>GAMMA INDIRIZZI SRL - 01048250391</v>
      </c>
      <c r="F360" t="str">
        <f t="shared" si="100"/>
        <v>GAMMA INDIRIZZI SRL - 01048250391</v>
      </c>
      <c r="G360" t="str">
        <f>"1.660,00 EUR"</f>
        <v>1.660,00 EUR</v>
      </c>
      <c r="H360" t="str">
        <f>"13/05/2016 - 10/05/2016"</f>
        <v>13/05/2016 - 10/05/2016</v>
      </c>
      <c r="I360" t="str">
        <f>"1.660,00 EUR"</f>
        <v>1.660,00 EUR</v>
      </c>
    </row>
    <row r="361" spans="1:9" x14ac:dyDescent="0.25">
      <c r="A361" t="str">
        <f>"Z6019DCA3A"</f>
        <v>Z6019DCA3A</v>
      </c>
      <c r="B361" t="str">
        <f t="shared" si="89"/>
        <v>AC Ravenna - 00085710390</v>
      </c>
      <c r="C361" t="str">
        <f>"CANONE MANUT.SITO WEB"</f>
        <v>CANONE MANUT.SITO WEB</v>
      </c>
      <c r="D361" t="str">
        <f t="shared" si="98"/>
        <v>23-AFFIDAMENTO DIRETTO</v>
      </c>
      <c r="E361" t="str">
        <f>"SIMATICA SRL - 02070730391"</f>
        <v>SIMATICA SRL - 02070730391</v>
      </c>
      <c r="F361" t="str">
        <f>"SIMATICA SRL - 02070730391"</f>
        <v>SIMATICA SRL - 02070730391</v>
      </c>
      <c r="G361" t="str">
        <f>"400,00 EUR"</f>
        <v>400,00 EUR</v>
      </c>
      <c r="H361" t="str">
        <f>"13/05/2016 - 31/12/2016"</f>
        <v>13/05/2016 - 31/12/2016</v>
      </c>
      <c r="I361" t="str">
        <f>"400,00 EUR"</f>
        <v>400,00 EUR</v>
      </c>
    </row>
    <row r="362" spans="1:9" x14ac:dyDescent="0.25">
      <c r="A362" t="str">
        <f>"Z3D19DCA99"</f>
        <v>Z3D19DCA99</v>
      </c>
      <c r="B362" t="str">
        <f t="shared" si="89"/>
        <v>AC Ravenna - 00085710390</v>
      </c>
      <c r="C362" t="str">
        <f>"MANUTENZIONE IMPIANTI"</f>
        <v>MANUTENZIONE IMPIANTI</v>
      </c>
      <c r="D362" t="str">
        <f t="shared" si="98"/>
        <v>23-AFFIDAMENTO DIRETTO</v>
      </c>
      <c r="E362" t="str">
        <f>"MORGAGNI BENIAMINO - MRGBMN61C31H199N"</f>
        <v>MORGAGNI BENIAMINO - MRGBMN61C31H199N</v>
      </c>
      <c r="F362" t="str">
        <f>"MORGAGNI BENIAMINO - MRGBMN61C31H199N"</f>
        <v>MORGAGNI BENIAMINO - MRGBMN61C31H199N</v>
      </c>
      <c r="G362" t="str">
        <f>"135,00 EUR"</f>
        <v>135,00 EUR</v>
      </c>
      <c r="H362" t="str">
        <f>"13/05/2016 - 13/05/2016"</f>
        <v>13/05/2016 - 13/05/2016</v>
      </c>
      <c r="I362" t="str">
        <f>"135,00 EUR"</f>
        <v>135,00 EUR</v>
      </c>
    </row>
    <row r="363" spans="1:9" x14ac:dyDescent="0.25">
      <c r="A363" t="str">
        <f>"Z6319CC24F"</f>
        <v>Z6319CC24F</v>
      </c>
      <c r="B363" t="str">
        <f t="shared" si="89"/>
        <v>AC Ravenna - 00085710390</v>
      </c>
      <c r="C363" t="str">
        <f>"ASSISTENZA SOFTWARE"</f>
        <v>ASSISTENZA SOFTWARE</v>
      </c>
      <c r="D363" t="str">
        <f t="shared" si="98"/>
        <v>23-AFFIDAMENTO DIRETTO</v>
      </c>
      <c r="E363" t="str">
        <f>"HARVARD SERVICE S.r.l. - 02054730409"</f>
        <v>HARVARD SERVICE S.r.l. - 02054730409</v>
      </c>
      <c r="F363" t="str">
        <f>"HARVARD SERVICE S.r.l. - 02054730409"</f>
        <v>HARVARD SERVICE S.r.l. - 02054730409</v>
      </c>
      <c r="G363" t="str">
        <f>"183,00 EUR"</f>
        <v>183,00 EUR</v>
      </c>
      <c r="H363" t="str">
        <f>"10/05/2016 - 10/05/2016"</f>
        <v>10/05/2016 - 10/05/2016</v>
      </c>
      <c r="I363" t="str">
        <f>"183,00 EUR"</f>
        <v>183,00 EUR</v>
      </c>
    </row>
    <row r="364" spans="1:9" x14ac:dyDescent="0.25">
      <c r="A364" t="str">
        <f>"Z2019A5834"</f>
        <v>Z2019A5834</v>
      </c>
      <c r="B364" t="str">
        <f t="shared" si="89"/>
        <v>AC Ravenna - 00085710390</v>
      </c>
      <c r="C364" t="str">
        <f>"MANIFESTAZIONE SPORTIVA"</f>
        <v>MANIFESTAZIONE SPORTIVA</v>
      </c>
      <c r="D364" t="str">
        <f t="shared" si="98"/>
        <v>23-AFFIDAMENTO DIRETTO</v>
      </c>
      <c r="E364" t="str">
        <f>"ABC SRL - 02027790399"</f>
        <v>ABC SRL - 02027790399</v>
      </c>
      <c r="F364" t="str">
        <f>"ABC SRL - 02027790399"</f>
        <v>ABC SRL - 02027790399</v>
      </c>
      <c r="G364" t="str">
        <f>"1.000,00 EUR"</f>
        <v>1.000,00 EUR</v>
      </c>
      <c r="H364" t="str">
        <f>"29/04/2016 - 27/04/2016"</f>
        <v>29/04/2016 - 27/04/2016</v>
      </c>
      <c r="I364" t="str">
        <f>"1.000,00 EUR"</f>
        <v>1.000,00 EUR</v>
      </c>
    </row>
    <row r="365" spans="1:9" x14ac:dyDescent="0.25">
      <c r="A365" t="str">
        <f>"Z8019A3354"</f>
        <v>Z8019A3354</v>
      </c>
      <c r="B365" t="str">
        <f t="shared" ref="B365:B428" si="101">"AC Ravenna - 00085710390"</f>
        <v>AC Ravenna - 00085710390</v>
      </c>
      <c r="C365" t="str">
        <f>"MATERIALE PROMOZIONALE"</f>
        <v>MATERIALE PROMOZIONALE</v>
      </c>
      <c r="D365" t="str">
        <f t="shared" si="98"/>
        <v>23-AFFIDAMENTO DIRETTO</v>
      </c>
      <c r="E365" t="str">
        <f>"SUNUP S.r.l. - 03496530365"</f>
        <v>SUNUP S.r.l. - 03496530365</v>
      </c>
      <c r="F365" t="str">
        <f>"SUNUP S.r.l. - 03496530365"</f>
        <v>SUNUP S.r.l. - 03496530365</v>
      </c>
      <c r="G365" t="str">
        <f>"1.392,00 EUR"</f>
        <v>1.392,00 EUR</v>
      </c>
      <c r="H365" t="str">
        <f>"27/04/2016 - 28/04/2016"</f>
        <v>27/04/2016 - 28/04/2016</v>
      </c>
      <c r="I365" t="str">
        <f>"1.392,00 EUR"</f>
        <v>1.392,00 EUR</v>
      </c>
    </row>
    <row r="366" spans="1:9" x14ac:dyDescent="0.25">
      <c r="A366" t="str">
        <f>"Z8F1993A69"</f>
        <v>Z8F1993A69</v>
      </c>
      <c r="B366" t="str">
        <f t="shared" si="101"/>
        <v>AC Ravenna - 00085710390</v>
      </c>
      <c r="C366" t="str">
        <f>"PULIZIA LOCALI"</f>
        <v>PULIZIA LOCALI</v>
      </c>
      <c r="D366" t="str">
        <f t="shared" si="98"/>
        <v>23-AFFIDAMENTO DIRETTO</v>
      </c>
      <c r="E366" t="str">
        <f>"CENTRO IGIENE S.r.l. - 02368400392"</f>
        <v>CENTRO IGIENE S.r.l. - 02368400392</v>
      </c>
      <c r="F366" t="str">
        <f>"CENTRO IGIENE S.r.l. - 02368400392"</f>
        <v>CENTRO IGIENE S.r.l. - 02368400392</v>
      </c>
      <c r="G366" t="str">
        <f>"1.460,00 EUR"</f>
        <v>1.460,00 EUR</v>
      </c>
      <c r="H366" t="str">
        <f>"23/04/2016 - 23/04/2016"</f>
        <v>23/04/2016 - 23/04/2016</v>
      </c>
      <c r="I366" t="str">
        <f>"1.460,00 EUR"</f>
        <v>1.460,00 EUR</v>
      </c>
    </row>
    <row r="367" spans="1:9" x14ac:dyDescent="0.25">
      <c r="A367" t="str">
        <f>"Z99197CE69"</f>
        <v>Z99197CE69</v>
      </c>
      <c r="B367" t="str">
        <f t="shared" si="101"/>
        <v>AC Ravenna - 00085710390</v>
      </c>
      <c r="C367" t="str">
        <f>"SERVIZI POSTALI"</f>
        <v>SERVIZI POSTALI</v>
      </c>
      <c r="D367" t="str">
        <f t="shared" si="98"/>
        <v>23-AFFIDAMENTO DIRETTO</v>
      </c>
      <c r="E367" t="str">
        <f>"POSTE ITALIANE SPA - 97103880585"</f>
        <v>POSTE ITALIANE SPA - 97103880585</v>
      </c>
      <c r="F367" t="str">
        <f>"POSTE ITALIANE SPA - 97103880585"</f>
        <v>POSTE ITALIANE SPA - 97103880585</v>
      </c>
      <c r="G367" t="str">
        <f>"1.185,00 EUR"</f>
        <v>1.185,00 EUR</v>
      </c>
      <c r="H367" t="str">
        <f>"18/04/2016 - 31/12/2016"</f>
        <v>18/04/2016 - 31/12/2016</v>
      </c>
      <c r="I367" t="str">
        <f>"1.185,00 EUR"</f>
        <v>1.185,00 EUR</v>
      </c>
    </row>
    <row r="368" spans="1:9" x14ac:dyDescent="0.25">
      <c r="A368" t="str">
        <f>"Z08197CE8C"</f>
        <v>Z08197CE8C</v>
      </c>
      <c r="B368" t="str">
        <f t="shared" si="101"/>
        <v>AC Ravenna - 00085710390</v>
      </c>
      <c r="C368" t="str">
        <f>"MODULISTICA UFF.A.A."</f>
        <v>MODULISTICA UFF.A.A.</v>
      </c>
      <c r="D368" t="str">
        <f t="shared" si="98"/>
        <v>23-AFFIDAMENTO DIRETTO</v>
      </c>
      <c r="E368" t="str">
        <f>"NILO TERMOIDRAULICA SRL - 02500700394. TIPOLITOGRAFIA MAZZANTI S.r.l. - 02091850392"</f>
        <v>NILO TERMOIDRAULICA SRL - 02500700394. TIPOLITOGRAFIA MAZZANTI S.r.l. - 02091850392</v>
      </c>
      <c r="F368" t="str">
        <f>"NILO TERMOIDRAULICA SRL - 02500700394"</f>
        <v>NILO TERMOIDRAULICA SRL - 02500700394</v>
      </c>
      <c r="G368" t="str">
        <f>"200,00 EUR"</f>
        <v>200,00 EUR</v>
      </c>
      <c r="H368" t="str">
        <f>"18/04/2016 - 18/04/2016"</f>
        <v>18/04/2016 - 18/04/2016</v>
      </c>
      <c r="I368" t="str">
        <f>"200,00 EUR"</f>
        <v>200,00 EUR</v>
      </c>
    </row>
    <row r="369" spans="1:9" x14ac:dyDescent="0.25">
      <c r="A369" t="str">
        <f>"Z1A197CE7F"</f>
        <v>Z1A197CE7F</v>
      </c>
      <c r="B369" t="str">
        <f t="shared" si="101"/>
        <v>AC Ravenna - 00085710390</v>
      </c>
      <c r="C369" t="str">
        <f>"MODULISTICA UFF.SOCI"</f>
        <v>MODULISTICA UFF.SOCI</v>
      </c>
      <c r="D369" t="str">
        <f t="shared" si="98"/>
        <v>23-AFFIDAMENTO DIRETTO</v>
      </c>
      <c r="E369" t="str">
        <f>"TIPOLITOGRAFIA MAZZANTI S.r.l. - 02091850392"</f>
        <v>TIPOLITOGRAFIA MAZZANTI S.r.l. - 02091850392</v>
      </c>
      <c r="F369" t="str">
        <f>"TIPOLITOGRAFIA MAZZANTI S.r.l. - 02091850392"</f>
        <v>TIPOLITOGRAFIA MAZZANTI S.r.l. - 02091850392</v>
      </c>
      <c r="G369" t="str">
        <f>"170,00 EUR"</f>
        <v>170,00 EUR</v>
      </c>
      <c r="H369" t="str">
        <f>"18/04/2016 - 17/04/2016"</f>
        <v>18/04/2016 - 17/04/2016</v>
      </c>
      <c r="I369" t="str">
        <f>"170,00 EUR"</f>
        <v>170,00 EUR</v>
      </c>
    </row>
    <row r="370" spans="1:9" x14ac:dyDescent="0.25">
      <c r="A370" t="str">
        <f>"ZD0196C4D2"</f>
        <v>ZD0196C4D2</v>
      </c>
      <c r="B370" t="str">
        <f t="shared" si="101"/>
        <v>AC Ravenna - 00085710390</v>
      </c>
      <c r="C370" t="str">
        <f>"SERVIZIO SPEDIZIONE PATENTI"</f>
        <v>SERVIZIO SPEDIZIONE PATENTI</v>
      </c>
      <c r="D370" t="str">
        <f t="shared" si="98"/>
        <v>23-AFFIDAMENTO DIRETTO</v>
      </c>
      <c r="E370" t="str">
        <f t="shared" ref="E370:F372" si="102">"GAMMA INDIRIZZI SRL - 01048250391"</f>
        <v>GAMMA INDIRIZZI SRL - 01048250391</v>
      </c>
      <c r="F370" t="str">
        <f t="shared" si="102"/>
        <v>GAMMA INDIRIZZI SRL - 01048250391</v>
      </c>
      <c r="G370" t="str">
        <f>"285,00 EUR"</f>
        <v>285,00 EUR</v>
      </c>
      <c r="H370" t="str">
        <f>"13/04/2016 - 11/04/2016"</f>
        <v>13/04/2016 - 11/04/2016</v>
      </c>
      <c r="I370" t="str">
        <f>"285,00 EUR"</f>
        <v>285,00 EUR</v>
      </c>
    </row>
    <row r="371" spans="1:9" x14ac:dyDescent="0.25">
      <c r="A371" t="str">
        <f>"Z5F196C4C2"</f>
        <v>Z5F196C4C2</v>
      </c>
      <c r="B371" t="str">
        <f t="shared" si="101"/>
        <v>AC Ravenna - 00085710390</v>
      </c>
      <c r="C371" t="str">
        <f>"SERVIZIO SPEDIZIONE BOLSE"</f>
        <v>SERVIZIO SPEDIZIONE BOLSE</v>
      </c>
      <c r="D371" t="str">
        <f t="shared" si="98"/>
        <v>23-AFFIDAMENTO DIRETTO</v>
      </c>
      <c r="E371" t="str">
        <f t="shared" si="102"/>
        <v>GAMMA INDIRIZZI SRL - 01048250391</v>
      </c>
      <c r="F371" t="str">
        <f t="shared" si="102"/>
        <v>GAMMA INDIRIZZI SRL - 01048250391</v>
      </c>
      <c r="G371" t="str">
        <f>"1.161,00 EUR"</f>
        <v>1.161,00 EUR</v>
      </c>
      <c r="H371" t="str">
        <f>"13/04/2016 - 11/04/2016"</f>
        <v>13/04/2016 - 11/04/2016</v>
      </c>
      <c r="I371" t="str">
        <f>"1.161,00 EUR"</f>
        <v>1.161,00 EUR</v>
      </c>
    </row>
    <row r="372" spans="1:9" x14ac:dyDescent="0.25">
      <c r="A372" t="str">
        <f>"ZC5196C4CC"</f>
        <v>ZC5196C4CC</v>
      </c>
      <c r="B372" t="str">
        <f t="shared" si="101"/>
        <v>AC Ravenna - 00085710390</v>
      </c>
      <c r="C372" t="str">
        <f>"SERVIZIO SPEDIZIONE SOCI"</f>
        <v>SERVIZIO SPEDIZIONE SOCI</v>
      </c>
      <c r="D372" t="str">
        <f t="shared" si="98"/>
        <v>23-AFFIDAMENTO DIRETTO</v>
      </c>
      <c r="E372" t="str">
        <f t="shared" si="102"/>
        <v>GAMMA INDIRIZZI SRL - 01048250391</v>
      </c>
      <c r="F372" t="str">
        <f t="shared" si="102"/>
        <v>GAMMA INDIRIZZI SRL - 01048250391</v>
      </c>
      <c r="G372" t="str">
        <f>"184,00 EUR"</f>
        <v>184,00 EUR</v>
      </c>
      <c r="H372" t="str">
        <f>"13/04/2016 - 13/04/2016"</f>
        <v>13/04/2016 - 13/04/2016</v>
      </c>
      <c r="I372" t="str">
        <f>"184,00 EUR"</f>
        <v>184,00 EUR</v>
      </c>
    </row>
    <row r="373" spans="1:9" x14ac:dyDescent="0.25">
      <c r="A373" t="str">
        <f>"Z19196460A"</f>
        <v>Z19196460A</v>
      </c>
      <c r="B373" t="str">
        <f t="shared" si="101"/>
        <v>AC Ravenna - 00085710390</v>
      </c>
      <c r="C373" t="str">
        <f>"MODULISTICA UFF.A.A."</f>
        <v>MODULISTICA UFF.A.A.</v>
      </c>
      <c r="D373" t="str">
        <f t="shared" si="98"/>
        <v>23-AFFIDAMENTO DIRETTO</v>
      </c>
      <c r="E373" t="str">
        <f>"TIPOLITOGRAFIA MAZZANTI S.r.l. - 02091850392"</f>
        <v>TIPOLITOGRAFIA MAZZANTI S.r.l. - 02091850392</v>
      </c>
      <c r="F373" t="str">
        <f>"TIPOLITOGRAFIA MAZZANTI S.r.l. - 02091850392"</f>
        <v>TIPOLITOGRAFIA MAZZANTI S.r.l. - 02091850392</v>
      </c>
      <c r="G373" t="str">
        <f>"135,00 EUR"</f>
        <v>135,00 EUR</v>
      </c>
      <c r="H373" t="str">
        <f>"12/04/2016 - 10/04/2016"</f>
        <v>12/04/2016 - 10/04/2016</v>
      </c>
      <c r="I373" t="str">
        <f>"135,00 EUR"</f>
        <v>135,00 EUR</v>
      </c>
    </row>
    <row r="374" spans="1:9" x14ac:dyDescent="0.25">
      <c r="A374" t="str">
        <f>"ZE41949380"</f>
        <v>ZE41949380</v>
      </c>
      <c r="B374" t="str">
        <f t="shared" si="101"/>
        <v>AC Ravenna - 00085710390</v>
      </c>
      <c r="C374" t="str">
        <f>"CONVOCAZIONE ASSEMBLEA SOCI ACRA"</f>
        <v>CONVOCAZIONE ASSEMBLEA SOCI ACRA</v>
      </c>
      <c r="D374" t="str">
        <f t="shared" si="98"/>
        <v>23-AFFIDAMENTO DIRETTO</v>
      </c>
      <c r="E374" t="str">
        <f>"SPE SPA - 00326930377"</f>
        <v>SPE SPA - 00326930377</v>
      </c>
      <c r="F374" t="str">
        <f>"SPE SPA - 00326930377"</f>
        <v>SPE SPA - 00326930377</v>
      </c>
      <c r="G374" t="str">
        <f>"480,00 EUR"</f>
        <v>480,00 EUR</v>
      </c>
      <c r="H374" t="str">
        <f>"05/04/2016 - 05/04/2016"</f>
        <v>05/04/2016 - 05/04/2016</v>
      </c>
      <c r="I374" t="str">
        <f>"480,00 EUR"</f>
        <v>480,00 EUR</v>
      </c>
    </row>
    <row r="375" spans="1:9" x14ac:dyDescent="0.25">
      <c r="A375" t="str">
        <f>"ZA31938FCE"</f>
        <v>ZA31938FCE</v>
      </c>
      <c r="B375" t="str">
        <f t="shared" si="101"/>
        <v>AC Ravenna - 00085710390</v>
      </c>
      <c r="C375" t="str">
        <f>"INCARICO PROFESSIONALE"</f>
        <v>INCARICO PROFESSIONALE</v>
      </c>
      <c r="D375" t="str">
        <f t="shared" si="98"/>
        <v>23-AFFIDAMENTO DIRETTO</v>
      </c>
      <c r="E375" t="str">
        <f>"AVV.BARCHIELLI FRANCESCO - BRCFNC73R12H901H"</f>
        <v>AVV.BARCHIELLI FRANCESCO - BRCFNC73R12H901H</v>
      </c>
      <c r="F375" t="str">
        <f>"AVV.BARCHIELLI FRANCESCO - BRCFNC73R12H901H"</f>
        <v>AVV.BARCHIELLI FRANCESCO - BRCFNC73R12H901H</v>
      </c>
      <c r="G375" t="str">
        <f>"3.000,00 EUR"</f>
        <v>3.000,00 EUR</v>
      </c>
      <c r="H375" t="str">
        <f>"01/04/2016 - 31/12/2016"</f>
        <v>01/04/2016 - 31/12/2016</v>
      </c>
      <c r="I375" t="str">
        <f>"3.000,00 EUR"</f>
        <v>3.000,00 EUR</v>
      </c>
    </row>
    <row r="376" spans="1:9" x14ac:dyDescent="0.25">
      <c r="A376" t="str">
        <f>"Z9F19645E1"</f>
        <v>Z9F19645E1</v>
      </c>
      <c r="B376" t="str">
        <f t="shared" si="101"/>
        <v>AC Ravenna - 00085710390</v>
      </c>
      <c r="C376" t="str">
        <f>"SERVIZIO VIDEOINFO"</f>
        <v>SERVIZIO VIDEOINFO</v>
      </c>
      <c r="D376" t="str">
        <f t="shared" si="98"/>
        <v>23-AFFIDAMENTO DIRETTO</v>
      </c>
      <c r="E376" t="str">
        <f>"VIDEOINFO SRL - 03736500400"</f>
        <v>VIDEOINFO SRL - 03736500400</v>
      </c>
      <c r="F376" t="str">
        <f>"VIDEOINFO SRL - 03736500400"</f>
        <v>VIDEOINFO SRL - 03736500400</v>
      </c>
      <c r="G376" t="str">
        <f>"620,00 EUR"</f>
        <v>620,00 EUR</v>
      </c>
      <c r="H376" t="str">
        <f>"12/04/2016 - 12/04/2016"</f>
        <v>12/04/2016 - 12/04/2016</v>
      </c>
      <c r="I376" t="str">
        <f>"620,00 EUR"</f>
        <v>620,00 EUR</v>
      </c>
    </row>
    <row r="377" spans="1:9" x14ac:dyDescent="0.25">
      <c r="A377" t="str">
        <f>"Z81193B5B4"</f>
        <v>Z81193B5B4</v>
      </c>
      <c r="B377" t="str">
        <f t="shared" si="101"/>
        <v>AC Ravenna - 00085710390</v>
      </c>
      <c r="C377" t="str">
        <f>"FORNITURA GASOLIO"</f>
        <v>FORNITURA GASOLIO</v>
      </c>
      <c r="D377" t="str">
        <f>"26-AFFIDAMENTO DIRETTO IN ADESIONE AD ACCORDO QUADRO/CONVENZIONE"</f>
        <v>26-AFFIDAMENTO DIRETTO IN ADESIONE AD ACCORDO QUADRO/CONVENZIONE</v>
      </c>
      <c r="E377" t="str">
        <f>"BRONCHI COMBUSTIBILI SRL - 01252710403"</f>
        <v>BRONCHI COMBUSTIBILI SRL - 01252710403</v>
      </c>
      <c r="F377" t="str">
        <f>"BRONCHI COMBUSTIBILI SRL - 01252710403"</f>
        <v>BRONCHI COMBUSTIBILI SRL - 01252710403</v>
      </c>
      <c r="G377" t="str">
        <f>"1.490,00 EUR"</f>
        <v>1.490,00 EUR</v>
      </c>
      <c r="H377" t="str">
        <f>"01/04/2016 - 07/04/2016"</f>
        <v>01/04/2016 - 07/04/2016</v>
      </c>
      <c r="I377" t="str">
        <f>"1.490,00 EUR"</f>
        <v>1.490,00 EUR</v>
      </c>
    </row>
    <row r="378" spans="1:9" x14ac:dyDescent="0.25">
      <c r="A378" t="str">
        <f>"Z75192294D"</f>
        <v>Z75192294D</v>
      </c>
      <c r="B378" t="str">
        <f t="shared" si="101"/>
        <v>AC Ravenna - 00085710390</v>
      </c>
      <c r="C378" t="str">
        <f>"PULIZIA LOCALI"</f>
        <v>PULIZIA LOCALI</v>
      </c>
      <c r="D378" t="str">
        <f t="shared" ref="D378:D402" si="103">"23-AFFIDAMENTO DIRETTO"</f>
        <v>23-AFFIDAMENTO DIRETTO</v>
      </c>
      <c r="E378" t="str">
        <f>"CENTRO IGIENE S.r.l. - 02368400392"</f>
        <v>CENTRO IGIENE S.r.l. - 02368400392</v>
      </c>
      <c r="F378" t="str">
        <f>"CENTRO IGIENE S.r.l. - 02368400392"</f>
        <v>CENTRO IGIENE S.r.l. - 02368400392</v>
      </c>
      <c r="G378" t="str">
        <f>"1.375,00 EUR"</f>
        <v>1.375,00 EUR</v>
      </c>
      <c r="H378" t="str">
        <f>"23/03/2016 - 31/03/2016"</f>
        <v>23/03/2016 - 31/03/2016</v>
      </c>
      <c r="I378" t="str">
        <f>"1.375,00 EUR"</f>
        <v>1.375,00 EUR</v>
      </c>
    </row>
    <row r="379" spans="1:9" x14ac:dyDescent="0.25">
      <c r="A379" t="str">
        <f>"ZD818C262D"</f>
        <v>ZD818C262D</v>
      </c>
      <c r="B379" t="str">
        <f t="shared" si="101"/>
        <v>AC Ravenna - 00085710390</v>
      </c>
      <c r="C379" t="str">
        <f>"MODULISTICA UFF.A.A."</f>
        <v>MODULISTICA UFF.A.A.</v>
      </c>
      <c r="D379" t="str">
        <f t="shared" si="103"/>
        <v>23-AFFIDAMENTO DIRETTO</v>
      </c>
      <c r="E379" t="str">
        <f>"TIPOLITOGRAFIA MAZZANTI S.r.l. - 02091850392"</f>
        <v>TIPOLITOGRAFIA MAZZANTI S.r.l. - 02091850392</v>
      </c>
      <c r="F379" t="str">
        <f>"TIPOLITOGRAFIA MAZZANTI S.r.l. - 02091850392"</f>
        <v>TIPOLITOGRAFIA MAZZANTI S.r.l. - 02091850392</v>
      </c>
      <c r="G379" t="str">
        <f>"165,00 EUR"</f>
        <v>165,00 EUR</v>
      </c>
      <c r="H379" t="str">
        <f>"29/02/2016 - 29/02/2016"</f>
        <v>29/02/2016 - 29/02/2016</v>
      </c>
      <c r="I379" t="str">
        <f>"165,00 EUR"</f>
        <v>165,00 EUR</v>
      </c>
    </row>
    <row r="380" spans="1:9" x14ac:dyDescent="0.25">
      <c r="A380" t="str">
        <f>"ZA818B97D1"</f>
        <v>ZA818B97D1</v>
      </c>
      <c r="B380" t="str">
        <f t="shared" si="101"/>
        <v>AC Ravenna - 00085710390</v>
      </c>
      <c r="C380" t="str">
        <f>"MANUTENZIONE IMPIANTI"</f>
        <v>MANUTENZIONE IMPIANTI</v>
      </c>
      <c r="D380" t="str">
        <f t="shared" si="103"/>
        <v>23-AFFIDAMENTO DIRETTO</v>
      </c>
      <c r="E380" t="str">
        <f>"NILO TERMOIDRAULICA SRL - 02500700394"</f>
        <v>NILO TERMOIDRAULICA SRL - 02500700394</v>
      </c>
      <c r="F380" t="str">
        <f>"NILO TERMOIDRAULICA SRL - 02500700394"</f>
        <v>NILO TERMOIDRAULICA SRL - 02500700394</v>
      </c>
      <c r="G380" t="str">
        <f>"280,00 EUR"</f>
        <v>280,00 EUR</v>
      </c>
      <c r="H380" t="str">
        <f>"26/02/2016 - 07/03/2016"</f>
        <v>26/02/2016 - 07/03/2016</v>
      </c>
      <c r="I380" t="str">
        <f>"280,00 EUR"</f>
        <v>280,00 EUR</v>
      </c>
    </row>
    <row r="381" spans="1:9" x14ac:dyDescent="0.25">
      <c r="A381" t="str">
        <f>"ZCA18B9828"</f>
        <v>ZCA18B9828</v>
      </c>
      <c r="B381" t="str">
        <f t="shared" si="101"/>
        <v>AC Ravenna - 00085710390</v>
      </c>
      <c r="C381" t="str">
        <f>"MODULISTICA UFF.A.A."</f>
        <v>MODULISTICA UFF.A.A.</v>
      </c>
      <c r="D381" t="str">
        <f t="shared" si="103"/>
        <v>23-AFFIDAMENTO DIRETTO</v>
      </c>
      <c r="E381" t="str">
        <f>"SAMORANI S.R.L. - 02705640403"</f>
        <v>SAMORANI S.R.L. - 02705640403</v>
      </c>
      <c r="F381" t="str">
        <f>"SAMORANI S.R.L. - 02705640403"</f>
        <v>SAMORANI S.R.L. - 02705640403</v>
      </c>
      <c r="G381" t="str">
        <f>"990,00 EUR"</f>
        <v>990,00 EUR</v>
      </c>
      <c r="H381" t="str">
        <f>"26/02/2016 - 30/03/2016"</f>
        <v>26/02/2016 - 30/03/2016</v>
      </c>
      <c r="I381" t="str">
        <f>"990,00 EUR"</f>
        <v>990,00 EUR</v>
      </c>
    </row>
    <row r="382" spans="1:9" x14ac:dyDescent="0.25">
      <c r="A382" t="str">
        <f>"Z0618B6A31"</f>
        <v>Z0618B6A31</v>
      </c>
      <c r="B382" t="str">
        <f t="shared" si="101"/>
        <v>AC Ravenna - 00085710390</v>
      </c>
      <c r="C382" t="str">
        <f>"MODULISTICA UFF.A.A."</f>
        <v>MODULISTICA UFF.A.A.</v>
      </c>
      <c r="D382" t="str">
        <f t="shared" si="103"/>
        <v>23-AFFIDAMENTO DIRETTO</v>
      </c>
      <c r="E382" t="str">
        <f>"SAMORANI S.R.L. - 02705640403"</f>
        <v>SAMORANI S.R.L. - 02705640403</v>
      </c>
      <c r="F382" t="str">
        <f>"SAMORANI S.R.L. - 02705640403"</f>
        <v>SAMORANI S.R.L. - 02705640403</v>
      </c>
      <c r="G382" t="str">
        <f>"110,00 EUR"</f>
        <v>110,00 EUR</v>
      </c>
      <c r="H382" t="str">
        <f>"25/02/2016 - 08/03/2016"</f>
        <v>25/02/2016 - 08/03/2016</v>
      </c>
      <c r="I382" t="str">
        <f>"110,00 EUR"</f>
        <v>110,00 EUR</v>
      </c>
    </row>
    <row r="383" spans="1:9" x14ac:dyDescent="0.25">
      <c r="A383" t="str">
        <f>"Z8018A563A"</f>
        <v>Z8018A563A</v>
      </c>
      <c r="B383" t="str">
        <f t="shared" si="101"/>
        <v>AC Ravenna - 00085710390</v>
      </c>
      <c r="C383" t="str">
        <f>"MANUTENZIONE IMMOBILE"</f>
        <v>MANUTENZIONE IMMOBILE</v>
      </c>
      <c r="D383" t="str">
        <f t="shared" si="103"/>
        <v>23-AFFIDAMENTO DIRETTO</v>
      </c>
      <c r="E383" t="str">
        <f>"ASSA ABLOY ENTRANCE SYSTEMS SPA - 08403530150"</f>
        <v>ASSA ABLOY ENTRANCE SYSTEMS SPA - 08403530150</v>
      </c>
      <c r="F383" t="str">
        <f>"ASSA ABLOY ENTRANCE SYSTEMS SPA - 08403530150"</f>
        <v>ASSA ABLOY ENTRANCE SYSTEMS SPA - 08403530150</v>
      </c>
      <c r="G383" t="str">
        <f>"374,00 EUR"</f>
        <v>374,00 EUR</v>
      </c>
      <c r="H383" t="str">
        <f>"22/02/2016 - 23/02/2016"</f>
        <v>22/02/2016 - 23/02/2016</v>
      </c>
      <c r="I383" t="str">
        <f>"374,00 EUR"</f>
        <v>374,00 EUR</v>
      </c>
    </row>
    <row r="384" spans="1:9" x14ac:dyDescent="0.25">
      <c r="A384" t="str">
        <f>"Z8F18A2844"</f>
        <v>Z8F18A2844</v>
      </c>
      <c r="B384" t="str">
        <f t="shared" si="101"/>
        <v>AC Ravenna - 00085710390</v>
      </c>
      <c r="C384" t="str">
        <f>"SERVIZIO VIGILANZA LOCALI SEDE"</f>
        <v>SERVIZIO VIGILANZA LOCALI SEDE</v>
      </c>
      <c r="D384" t="str">
        <f t="shared" si="103"/>
        <v>23-AFFIDAMENTO DIRETTO</v>
      </c>
      <c r="E384" t="str">
        <f>"I.B.S.ITALIA SRL - 02107450393"</f>
        <v>I.B.S.ITALIA SRL - 02107450393</v>
      </c>
      <c r="F384" t="str">
        <f>"I.B.S.ITALIA SRL - 02107450393"</f>
        <v>I.B.S.ITALIA SRL - 02107450393</v>
      </c>
      <c r="G384" t="str">
        <f>"360,00 EUR"</f>
        <v>360,00 EUR</v>
      </c>
      <c r="H384" t="str">
        <f>"22/02/2016 - 29/02/2016"</f>
        <v>22/02/2016 - 29/02/2016</v>
      </c>
      <c r="I384" t="str">
        <f>"360,00 EUR"</f>
        <v>360,00 EUR</v>
      </c>
    </row>
    <row r="385" spans="1:9" x14ac:dyDescent="0.25">
      <c r="A385" t="str">
        <f>"ZB818A2888"</f>
        <v>ZB818A2888</v>
      </c>
      <c r="B385" t="str">
        <f t="shared" si="101"/>
        <v>AC Ravenna - 00085710390</v>
      </c>
      <c r="C385" t="str">
        <f>"SERVIZIO SPEDIZIONE BOLSE"</f>
        <v>SERVIZIO SPEDIZIONE BOLSE</v>
      </c>
      <c r="D385" t="str">
        <f t="shared" si="103"/>
        <v>23-AFFIDAMENTO DIRETTO</v>
      </c>
      <c r="E385" t="str">
        <f t="shared" ref="E385:F387" si="104">"GAMMA INDIRIZZI SRL - 01048250391"</f>
        <v>GAMMA INDIRIZZI SRL - 01048250391</v>
      </c>
      <c r="F385" t="str">
        <f t="shared" si="104"/>
        <v>GAMMA INDIRIZZI SRL - 01048250391</v>
      </c>
      <c r="G385" t="str">
        <f>"2.022,00 EUR"</f>
        <v>2.022,00 EUR</v>
      </c>
      <c r="H385" t="str">
        <f>"30/11/-0001 - 29/02/2016"</f>
        <v>30/11/-0001 - 29/02/2016</v>
      </c>
      <c r="I385" t="str">
        <f>"2.022,00 EUR"</f>
        <v>2.022,00 EUR</v>
      </c>
    </row>
    <row r="386" spans="1:9" x14ac:dyDescent="0.25">
      <c r="A386" t="str">
        <f>"ZBA18A2912"</f>
        <v>ZBA18A2912</v>
      </c>
      <c r="B386" t="str">
        <f t="shared" si="101"/>
        <v>AC Ravenna - 00085710390</v>
      </c>
      <c r="C386" t="str">
        <f>"SERVIZIO SPEDIZIONE SOCI"</f>
        <v>SERVIZIO SPEDIZIONE SOCI</v>
      </c>
      <c r="D386" t="str">
        <f t="shared" si="103"/>
        <v>23-AFFIDAMENTO DIRETTO</v>
      </c>
      <c r="E386" t="str">
        <f t="shared" si="104"/>
        <v>GAMMA INDIRIZZI SRL - 01048250391</v>
      </c>
      <c r="F386" t="str">
        <f t="shared" si="104"/>
        <v>GAMMA INDIRIZZI SRL - 01048250391</v>
      </c>
      <c r="G386" t="str">
        <f>"217,00 EUR"</f>
        <v>217,00 EUR</v>
      </c>
      <c r="H386" t="str">
        <f>"22/02/2016 - 29/02/2016"</f>
        <v>22/02/2016 - 29/02/2016</v>
      </c>
      <c r="I386" t="str">
        <f>"217,00 EUR"</f>
        <v>217,00 EUR</v>
      </c>
    </row>
    <row r="387" spans="1:9" x14ac:dyDescent="0.25">
      <c r="A387" t="str">
        <f>"ZF918A2962"</f>
        <v>ZF918A2962</v>
      </c>
      <c r="B387" t="str">
        <f t="shared" si="101"/>
        <v>AC Ravenna - 00085710390</v>
      </c>
      <c r="C387" t="str">
        <f>"SERVIZIO SPEDIZIONE PATENTI"</f>
        <v>SERVIZIO SPEDIZIONE PATENTI</v>
      </c>
      <c r="D387" t="str">
        <f t="shared" si="103"/>
        <v>23-AFFIDAMENTO DIRETTO</v>
      </c>
      <c r="E387" t="str">
        <f t="shared" si="104"/>
        <v>GAMMA INDIRIZZI SRL - 01048250391</v>
      </c>
      <c r="F387" t="str">
        <f t="shared" si="104"/>
        <v>GAMMA INDIRIZZI SRL - 01048250391</v>
      </c>
      <c r="G387" t="str">
        <f>"72,00 EUR"</f>
        <v>72,00 EUR</v>
      </c>
      <c r="H387" t="str">
        <f>"22/02/2016 - 29/02/2016"</f>
        <v>22/02/2016 - 29/02/2016</v>
      </c>
      <c r="I387" t="str">
        <f>"72,00 EUR"</f>
        <v>72,00 EUR</v>
      </c>
    </row>
    <row r="388" spans="1:9" x14ac:dyDescent="0.25">
      <c r="A388" t="str">
        <f>"Z2818A27F5"</f>
        <v>Z2818A27F5</v>
      </c>
      <c r="B388" t="str">
        <f t="shared" si="101"/>
        <v>AC Ravenna - 00085710390</v>
      </c>
      <c r="C388" t="str">
        <f>"PULIZIA LOCALI"</f>
        <v>PULIZIA LOCALI</v>
      </c>
      <c r="D388" t="str">
        <f t="shared" si="103"/>
        <v>23-AFFIDAMENTO DIRETTO</v>
      </c>
      <c r="E388" t="str">
        <f>"CENTRO IGIENE S.r.l. - 02368400392"</f>
        <v>CENTRO IGIENE S.r.l. - 02368400392</v>
      </c>
      <c r="F388" t="str">
        <f>"CENTRO IGIENE S.r.l. - 02368400392"</f>
        <v>CENTRO IGIENE S.r.l. - 02368400392</v>
      </c>
      <c r="G388" t="str">
        <f>"1.375,00 EUR"</f>
        <v>1.375,00 EUR</v>
      </c>
      <c r="H388" t="str">
        <f>"22/02/2016 - 29/02/2016"</f>
        <v>22/02/2016 - 29/02/2016</v>
      </c>
      <c r="I388" t="str">
        <f>"1.375,00 EUR"</f>
        <v>1.375,00 EUR</v>
      </c>
    </row>
    <row r="389" spans="1:9" x14ac:dyDescent="0.25">
      <c r="A389" t="str">
        <f>"Z5A187E054"</f>
        <v>Z5A187E054</v>
      </c>
      <c r="B389" t="str">
        <f t="shared" si="101"/>
        <v>AC Ravenna - 00085710390</v>
      </c>
      <c r="C389" t="str">
        <f>"ACQUISTO SOFTWARE"</f>
        <v>ACQUISTO SOFTWARE</v>
      </c>
      <c r="D389" t="str">
        <f t="shared" si="103"/>
        <v>23-AFFIDAMENTO DIRETTO</v>
      </c>
      <c r="E389" t="str">
        <f>"DALLA PENNA AL COMPUTER di Ravaioli Stefano - RVLSFN58T21H199V"</f>
        <v>DALLA PENNA AL COMPUTER di Ravaioli Stefano - RVLSFN58T21H199V</v>
      </c>
      <c r="F389" t="str">
        <f>"DALLA PENNA AL COMPUTER di Ravaioli Stefano - RVLSFN58T21H199V"</f>
        <v>DALLA PENNA AL COMPUTER di Ravaioli Stefano - RVLSFN58T21H199V</v>
      </c>
      <c r="G389" t="str">
        <f>"90,00 EUR"</f>
        <v>90,00 EUR</v>
      </c>
      <c r="H389" t="str">
        <f>"11/02/2016 - 12/02/2016"</f>
        <v>11/02/2016 - 12/02/2016</v>
      </c>
      <c r="I389" t="str">
        <f>"90,00 EUR"</f>
        <v>90,00 EUR</v>
      </c>
    </row>
    <row r="390" spans="1:9" x14ac:dyDescent="0.25">
      <c r="A390" t="str">
        <f>"Z7B187457C"</f>
        <v>Z7B187457C</v>
      </c>
      <c r="B390" t="str">
        <f t="shared" si="101"/>
        <v>AC Ravenna - 00085710390</v>
      </c>
      <c r="C390" t="str">
        <f>"MANUTENZIONE IMPIANTI"</f>
        <v>MANUTENZIONE IMPIANTI</v>
      </c>
      <c r="D390" t="str">
        <f t="shared" si="103"/>
        <v>23-AFFIDAMENTO DIRETTO</v>
      </c>
      <c r="E390" t="str">
        <f>"NILO TERMOIDRAULICA SRL - 02500700394"</f>
        <v>NILO TERMOIDRAULICA SRL - 02500700394</v>
      </c>
      <c r="F390" t="str">
        <f>"NILO TERMOIDRAULICA SRL - 02500700394"</f>
        <v>NILO TERMOIDRAULICA SRL - 02500700394</v>
      </c>
      <c r="G390" t="str">
        <f>"310,00 EUR"</f>
        <v>310,00 EUR</v>
      </c>
      <c r="H390" t="str">
        <f>"10/02/2016 - 16/02/2016"</f>
        <v>10/02/2016 - 16/02/2016</v>
      </c>
      <c r="I390" t="str">
        <f>"310,00 EUR"</f>
        <v>310,00 EUR</v>
      </c>
    </row>
    <row r="391" spans="1:9" x14ac:dyDescent="0.25">
      <c r="A391" t="str">
        <f>"ZA5187093B"</f>
        <v>ZA5187093B</v>
      </c>
      <c r="B391" t="str">
        <f t="shared" si="101"/>
        <v>AC Ravenna - 00085710390</v>
      </c>
      <c r="C391" t="str">
        <f>"MANUTENZIONE ESTINTORI"</f>
        <v>MANUTENZIONE ESTINTORI</v>
      </c>
      <c r="D391" t="str">
        <f t="shared" si="103"/>
        <v>23-AFFIDAMENTO DIRETTO</v>
      </c>
      <c r="E391" t="str">
        <f>"NUOVA OLP IMPIANTI SRL - 01478520396"</f>
        <v>NUOVA OLP IMPIANTI SRL - 01478520396</v>
      </c>
      <c r="F391" t="str">
        <f>"NUOVA OLP IMPIANTI SRL - 01478520396"</f>
        <v>NUOVA OLP IMPIANTI SRL - 01478520396</v>
      </c>
      <c r="G391" t="str">
        <f>"63,00 EUR"</f>
        <v>63,00 EUR</v>
      </c>
      <c r="H391" t="str">
        <f>"09/02/2016 - 09/02/2016"</f>
        <v>09/02/2016 - 09/02/2016</v>
      </c>
      <c r="I391" t="str">
        <f>"63,00 EUR"</f>
        <v>63,00 EUR</v>
      </c>
    </row>
    <row r="392" spans="1:9" x14ac:dyDescent="0.25">
      <c r="A392" t="str">
        <f>"ZD51870871"</f>
        <v>ZD51870871</v>
      </c>
      <c r="B392" t="str">
        <f t="shared" si="101"/>
        <v>AC Ravenna - 00085710390</v>
      </c>
      <c r="C392" t="str">
        <f>"MANUTENZIONE ESTINTORI"</f>
        <v>MANUTENZIONE ESTINTORI</v>
      </c>
      <c r="D392" t="str">
        <f t="shared" si="103"/>
        <v>23-AFFIDAMENTO DIRETTO</v>
      </c>
      <c r="E392" t="str">
        <f>"NUOVA OLP IMPIANTI SRL - 01478520396"</f>
        <v>NUOVA OLP IMPIANTI SRL - 01478520396</v>
      </c>
      <c r="F392" t="str">
        <f>"NUOVA OLP IMPIANTI SRL - 01478520396"</f>
        <v>NUOVA OLP IMPIANTI SRL - 01478520396</v>
      </c>
      <c r="G392" t="str">
        <f>"30,00 EUR"</f>
        <v>30,00 EUR</v>
      </c>
      <c r="H392" t="str">
        <f>"09/02/2016 - 09/02/2016"</f>
        <v>09/02/2016 - 09/02/2016</v>
      </c>
      <c r="I392" t="str">
        <f>"30,00 EUR"</f>
        <v>30,00 EUR</v>
      </c>
    </row>
    <row r="393" spans="1:9" x14ac:dyDescent="0.25">
      <c r="A393" t="str">
        <f>"Z89184EB54"</f>
        <v>Z89184EB54</v>
      </c>
      <c r="B393" t="str">
        <f t="shared" si="101"/>
        <v>AC Ravenna - 00085710390</v>
      </c>
      <c r="C393" t="str">
        <f>"ASSISTENZA HARDWARE"</f>
        <v>ASSISTENZA HARDWARE</v>
      </c>
      <c r="D393" t="str">
        <f t="shared" si="103"/>
        <v>23-AFFIDAMENTO DIRETTO</v>
      </c>
      <c r="E393" t="str">
        <f>"HARVARD SERVICE S.r.l. - 02054730409"</f>
        <v>HARVARD SERVICE S.r.l. - 02054730409</v>
      </c>
      <c r="F393" t="str">
        <f>"HARVARD SERVICE S.r.l. - 02054730409"</f>
        <v>HARVARD SERVICE S.r.l. - 02054730409</v>
      </c>
      <c r="G393" t="str">
        <f>"2.872,00 EUR"</f>
        <v>2.872,00 EUR</v>
      </c>
      <c r="H393" t="str">
        <f>"30/01/2016 - 29/02/2016"</f>
        <v>30/01/2016 - 29/02/2016</v>
      </c>
      <c r="I393" t="str">
        <f>"2.872,00 EUR"</f>
        <v>2.872,00 EUR</v>
      </c>
    </row>
    <row r="394" spans="1:9" x14ac:dyDescent="0.25">
      <c r="A394" t="str">
        <f>"ZC6184EB1A"</f>
        <v>ZC6184EB1A</v>
      </c>
      <c r="B394" t="str">
        <f t="shared" si="101"/>
        <v>AC Ravenna - 00085710390</v>
      </c>
      <c r="C394" t="str">
        <f>"CANONE SOFTWARE APPLICATIVI"</f>
        <v>CANONE SOFTWARE APPLICATIVI</v>
      </c>
      <c r="D394" t="str">
        <f t="shared" si="103"/>
        <v>23-AFFIDAMENTO DIRETTO</v>
      </c>
      <c r="E394" t="str">
        <f>"HARVARD GROUP S.r.l. - 02254110402"</f>
        <v>HARVARD GROUP S.r.l. - 02254110402</v>
      </c>
      <c r="F394" t="str">
        <f>"HARVARD GROUP S.r.l. - 02254110402"</f>
        <v>HARVARD GROUP S.r.l. - 02254110402</v>
      </c>
      <c r="G394" t="str">
        <f>"2.572,00 EUR"</f>
        <v>2.572,00 EUR</v>
      </c>
      <c r="H394" t="str">
        <f>"01/02/2016 - 03/02/2016"</f>
        <v>01/02/2016 - 03/02/2016</v>
      </c>
      <c r="I394" t="str">
        <f>"2.572,00 EUR"</f>
        <v>2.572,00 EUR</v>
      </c>
    </row>
    <row r="395" spans="1:9" x14ac:dyDescent="0.25">
      <c r="A395" t="str">
        <f>"Z7A184EB35"</f>
        <v>Z7A184EB35</v>
      </c>
      <c r="B395" t="str">
        <f t="shared" si="101"/>
        <v>AC Ravenna - 00085710390</v>
      </c>
      <c r="C395" t="str">
        <f>"CANONE SOFTWARE APPLICATIVI"</f>
        <v>CANONE SOFTWARE APPLICATIVI</v>
      </c>
      <c r="D395" t="str">
        <f t="shared" si="103"/>
        <v>23-AFFIDAMENTO DIRETTO</v>
      </c>
      <c r="E395" t="str">
        <f>"HARVARD GROUP S.r.l. - 02254110402"</f>
        <v>HARVARD GROUP S.r.l. - 02254110402</v>
      </c>
      <c r="F395" t="str">
        <f>"HARVARD GROUP S.r.l. - 02254110402"</f>
        <v>HARVARD GROUP S.r.l. - 02254110402</v>
      </c>
      <c r="G395" t="str">
        <f>"8.691,00 EUR"</f>
        <v>8.691,00 EUR</v>
      </c>
      <c r="H395" t="str">
        <f>"01/02/2016 - 03/02/2016"</f>
        <v>01/02/2016 - 03/02/2016</v>
      </c>
      <c r="I395" t="str">
        <f>"8.691,00 EUR"</f>
        <v>8.691,00 EUR</v>
      </c>
    </row>
    <row r="396" spans="1:9" x14ac:dyDescent="0.25">
      <c r="A396" t="str">
        <f>"ZDF184EAFA"</f>
        <v>ZDF184EAFA</v>
      </c>
      <c r="B396" t="str">
        <f t="shared" si="101"/>
        <v>AC Ravenna - 00085710390</v>
      </c>
      <c r="C396" t="str">
        <f>"ASSISTENZA OROLOGIO MARCATEMPO"</f>
        <v>ASSISTENZA OROLOGIO MARCATEMPO</v>
      </c>
      <c r="D396" t="str">
        <f t="shared" si="103"/>
        <v>23-AFFIDAMENTO DIRETTO</v>
      </c>
      <c r="E396" t="str">
        <f>"ELCO SISTEMI SRL - 03246960409"</f>
        <v>ELCO SISTEMI SRL - 03246960409</v>
      </c>
      <c r="F396" t="str">
        <f>"ELCO SISTEMI SRL - 03246960409"</f>
        <v>ELCO SISTEMI SRL - 03246960409</v>
      </c>
      <c r="G396" t="str">
        <f>"118,00 EUR"</f>
        <v>118,00 EUR</v>
      </c>
      <c r="H396" t="str">
        <f>"01/02/2016 - 05/02/2016"</f>
        <v>01/02/2016 - 05/02/2016</v>
      </c>
      <c r="I396" t="str">
        <f>"118,00 EUR"</f>
        <v>118,00 EUR</v>
      </c>
    </row>
    <row r="397" spans="1:9" x14ac:dyDescent="0.25">
      <c r="A397" t="str">
        <f>"Z8C1843AAC"</f>
        <v>Z8C1843AAC</v>
      </c>
      <c r="B397" t="str">
        <f t="shared" si="101"/>
        <v>AC Ravenna - 00085710390</v>
      </c>
      <c r="C397" t="str">
        <f>"MODULISTICA UFF.A.A."</f>
        <v>MODULISTICA UFF.A.A.</v>
      </c>
      <c r="D397" t="str">
        <f t="shared" si="103"/>
        <v>23-AFFIDAMENTO DIRETTO</v>
      </c>
      <c r="E397" t="str">
        <f>"SAMORANI S.R.L. - 02705640403"</f>
        <v>SAMORANI S.R.L. - 02705640403</v>
      </c>
      <c r="F397" t="str">
        <f>"SAMORANI S.R.L. - 02705640403"</f>
        <v>SAMORANI S.R.L. - 02705640403</v>
      </c>
      <c r="G397" t="str">
        <f>"360,00 EUR"</f>
        <v>360,00 EUR</v>
      </c>
      <c r="H397" t="str">
        <f>"28/01/2016 - 03/02/2016"</f>
        <v>28/01/2016 - 03/02/2016</v>
      </c>
      <c r="I397" t="str">
        <f>"360,00 EUR"</f>
        <v>360,00 EUR</v>
      </c>
    </row>
    <row r="398" spans="1:9" x14ac:dyDescent="0.25">
      <c r="A398" t="str">
        <f>"Z0F183A44E"</f>
        <v>Z0F183A44E</v>
      </c>
      <c r="B398" t="str">
        <f t="shared" si="101"/>
        <v>AC Ravenna - 00085710390</v>
      </c>
      <c r="C398" t="str">
        <f>"SERVIZIO SPEDIZIONE SOCI"</f>
        <v>SERVIZIO SPEDIZIONE SOCI</v>
      </c>
      <c r="D398" t="str">
        <f t="shared" si="103"/>
        <v>23-AFFIDAMENTO DIRETTO</v>
      </c>
      <c r="E398" t="str">
        <f t="shared" ref="E398:F400" si="105">"GAMMA INDIRIZZI SRL - 01048250391"</f>
        <v>GAMMA INDIRIZZI SRL - 01048250391</v>
      </c>
      <c r="F398" t="str">
        <f t="shared" si="105"/>
        <v>GAMMA INDIRIZZI SRL - 01048250391</v>
      </c>
      <c r="G398" t="str">
        <f>"201,00 EUR"</f>
        <v>201,00 EUR</v>
      </c>
      <c r="H398" t="str">
        <f>"27/01/2016 - 29/01/2016"</f>
        <v>27/01/2016 - 29/01/2016</v>
      </c>
      <c r="I398" t="str">
        <f>"201,00 EUR"</f>
        <v>201,00 EUR</v>
      </c>
    </row>
    <row r="399" spans="1:9" x14ac:dyDescent="0.25">
      <c r="A399" t="str">
        <f>"Z89183A4D5"</f>
        <v>Z89183A4D5</v>
      </c>
      <c r="B399" t="str">
        <f t="shared" si="101"/>
        <v>AC Ravenna - 00085710390</v>
      </c>
      <c r="C399" t="str">
        <f>"SERVIZIO SPEDIZIONE PATENTI"</f>
        <v>SERVIZIO SPEDIZIONE PATENTI</v>
      </c>
      <c r="D399" t="str">
        <f t="shared" si="103"/>
        <v>23-AFFIDAMENTO DIRETTO</v>
      </c>
      <c r="E399" t="str">
        <f t="shared" si="105"/>
        <v>GAMMA INDIRIZZI SRL - 01048250391</v>
      </c>
      <c r="F399" t="str">
        <f t="shared" si="105"/>
        <v>GAMMA INDIRIZZI SRL - 01048250391</v>
      </c>
      <c r="G399" t="str">
        <f>"64,00 EUR"</f>
        <v>64,00 EUR</v>
      </c>
      <c r="H399" t="str">
        <f>"27/01/2016 - 16/02/2016"</f>
        <v>27/01/2016 - 16/02/2016</v>
      </c>
      <c r="I399" t="str">
        <f>"64,00 EUR"</f>
        <v>64,00 EUR</v>
      </c>
    </row>
    <row r="400" spans="1:9" x14ac:dyDescent="0.25">
      <c r="A400" t="str">
        <f>"Z4C183A414"</f>
        <v>Z4C183A414</v>
      </c>
      <c r="B400" t="str">
        <f t="shared" si="101"/>
        <v>AC Ravenna - 00085710390</v>
      </c>
      <c r="C400" t="str">
        <f>"SERVIZIO SPEDIZIONE BOLSE"</f>
        <v>SERVIZIO SPEDIZIONE BOLSE</v>
      </c>
      <c r="D400" t="str">
        <f t="shared" si="103"/>
        <v>23-AFFIDAMENTO DIRETTO</v>
      </c>
      <c r="E400" t="str">
        <f t="shared" si="105"/>
        <v>GAMMA INDIRIZZI SRL - 01048250391</v>
      </c>
      <c r="F400" t="str">
        <f t="shared" si="105"/>
        <v>GAMMA INDIRIZZI SRL - 01048250391</v>
      </c>
      <c r="G400" t="str">
        <f>"1.195,00 EUR"</f>
        <v>1.195,00 EUR</v>
      </c>
      <c r="H400" t="str">
        <f>"26/01/2016 - 16/02/2016"</f>
        <v>26/01/2016 - 16/02/2016</v>
      </c>
      <c r="I400" t="str">
        <f>"1.195,00 EUR"</f>
        <v>1.195,00 EUR</v>
      </c>
    </row>
    <row r="401" spans="1:9" x14ac:dyDescent="0.25">
      <c r="A401" t="str">
        <f>"Z81183A59E"</f>
        <v>Z81183A59E</v>
      </c>
      <c r="B401" t="str">
        <f t="shared" si="101"/>
        <v>AC Ravenna - 00085710390</v>
      </c>
      <c r="C401" t="str">
        <f>"MODULISTICA UFF.A.A."</f>
        <v>MODULISTICA UFF.A.A.</v>
      </c>
      <c r="D401" t="str">
        <f t="shared" si="103"/>
        <v>23-AFFIDAMENTO DIRETTO</v>
      </c>
      <c r="E401" t="str">
        <f>"TIPOLITOGRAFIA MAZZANTI S.r.l. - 02091850392"</f>
        <v>TIPOLITOGRAFIA MAZZANTI S.r.l. - 02091850392</v>
      </c>
      <c r="F401" t="str">
        <f>"TIPOLITOGRAFIA MAZZANTI S.r.l. - 02091850392"</f>
        <v>TIPOLITOGRAFIA MAZZANTI S.r.l. - 02091850392</v>
      </c>
      <c r="G401" t="str">
        <f>"150,00 EUR"</f>
        <v>150,00 EUR</v>
      </c>
      <c r="H401" t="str">
        <f>"25/01/2016 - 01/02/2016"</f>
        <v>25/01/2016 - 01/02/2016</v>
      </c>
      <c r="I401" t="str">
        <f>"150,00 EUR"</f>
        <v>150,00 EUR</v>
      </c>
    </row>
    <row r="402" spans="1:9" x14ac:dyDescent="0.25">
      <c r="A402" t="str">
        <f>"Z75182C5C7"</f>
        <v>Z75182C5C7</v>
      </c>
      <c r="B402" t="str">
        <f t="shared" si="101"/>
        <v>AC Ravenna - 00085710390</v>
      </c>
      <c r="C402" t="str">
        <f>"PULIZIA LOCALI"</f>
        <v>PULIZIA LOCALI</v>
      </c>
      <c r="D402" t="str">
        <f t="shared" si="103"/>
        <v>23-AFFIDAMENTO DIRETTO</v>
      </c>
      <c r="E402" t="str">
        <f>"CENTRO IGIENE S.r.l. - 02368400392"</f>
        <v>CENTRO IGIENE S.r.l. - 02368400392</v>
      </c>
      <c r="F402" t="str">
        <f>"CENTRO IGIENE S.r.l. - 02368400392"</f>
        <v>CENTRO IGIENE S.r.l. - 02368400392</v>
      </c>
      <c r="G402" t="str">
        <f>"1.375,00 EUR"</f>
        <v>1.375,00 EUR</v>
      </c>
      <c r="H402" t="str">
        <f>"25/01/2016 - 31/01/2016"</f>
        <v>25/01/2016 - 31/01/2016</v>
      </c>
      <c r="I402" t="str">
        <f>"1.375,00 EUR"</f>
        <v>1.375,00 EUR</v>
      </c>
    </row>
    <row r="403" spans="1:9" x14ac:dyDescent="0.25">
      <c r="A403" t="str">
        <f>"Z74182C582"</f>
        <v>Z74182C582</v>
      </c>
      <c r="B403" t="str">
        <f t="shared" si="101"/>
        <v>AC Ravenna - 00085710390</v>
      </c>
      <c r="C403" t="str">
        <f>"FORNITURA GASOLIO"</f>
        <v>FORNITURA GASOLIO</v>
      </c>
      <c r="D403" t="str">
        <f>"27-CONFRONTO COMPETITIVO IN ADESIONE AD ACCORDO QUADRO/CONVENZIONE"</f>
        <v>27-CONFRONTO COMPETITIVO IN ADESIONE AD ACCORDO QUADRO/CONVENZIONE</v>
      </c>
      <c r="E403" t="str">
        <f>"BRONCHI COMBUSTIBILI SRL - 01252710403"</f>
        <v>BRONCHI COMBUSTIBILI SRL - 01252710403</v>
      </c>
      <c r="F403" t="str">
        <f>"BRONCHI COMBUSTIBILI SRL - 01252710403"</f>
        <v>BRONCHI COMBUSTIBILI SRL - 01252710403</v>
      </c>
      <c r="G403" t="str">
        <f>"1.392,00 EUR"</f>
        <v>1.392,00 EUR</v>
      </c>
      <c r="H403" t="str">
        <f>"25/01/2016 - 28/01/2016"</f>
        <v>25/01/2016 - 28/01/2016</v>
      </c>
      <c r="I403" t="str">
        <f>"1.392,00 EUR"</f>
        <v>1.392,00 EUR</v>
      </c>
    </row>
    <row r="404" spans="1:9" x14ac:dyDescent="0.25">
      <c r="A404" t="str">
        <f>"Z3C180FB3E"</f>
        <v>Z3C180FB3E</v>
      </c>
      <c r="B404" t="str">
        <f t="shared" si="101"/>
        <v>AC Ravenna - 00085710390</v>
      </c>
      <c r="C404" t="str">
        <f>"MODULISTICA UFF.AMM.NE"</f>
        <v>MODULISTICA UFF.AMM.NE</v>
      </c>
      <c r="D404" t="str">
        <f t="shared" ref="D404:D416" si="106">"23-AFFIDAMENTO DIRETTO"</f>
        <v>23-AFFIDAMENTO DIRETTO</v>
      </c>
      <c r="E404" t="str">
        <f>"TIPOLITOGRAFIA MAZZANTI S.r.l. - 02091850392"</f>
        <v>TIPOLITOGRAFIA MAZZANTI S.r.l. - 02091850392</v>
      </c>
      <c r="F404" t="str">
        <f>"TIPOLITOGRAFIA MAZZANTI S.r.l. - 02091850392"</f>
        <v>TIPOLITOGRAFIA MAZZANTI S.r.l. - 02091850392</v>
      </c>
      <c r="G404" t="str">
        <f>"271,00 EUR"</f>
        <v>271,00 EUR</v>
      </c>
      <c r="H404" t="str">
        <f>"18/01/2016 - 31/01/2016"</f>
        <v>18/01/2016 - 31/01/2016</v>
      </c>
      <c r="I404" t="str">
        <f>"271,00 EUR"</f>
        <v>271,00 EUR</v>
      </c>
    </row>
    <row r="405" spans="1:9" x14ac:dyDescent="0.25">
      <c r="A405" t="str">
        <f>"ZE118053EF"</f>
        <v>ZE118053EF</v>
      </c>
      <c r="B405" t="str">
        <f t="shared" si="101"/>
        <v>AC Ravenna - 00085710390</v>
      </c>
      <c r="C405" t="str">
        <f>"ACQUISTO CANCELLERIA"</f>
        <v>ACQUISTO CANCELLERIA</v>
      </c>
      <c r="D405" t="str">
        <f t="shared" si="106"/>
        <v>23-AFFIDAMENTO DIRETTO</v>
      </c>
      <c r="E405" t="str">
        <f>"EUROPA SYSTEM SRL - 02060730401"</f>
        <v>EUROPA SYSTEM SRL - 02060730401</v>
      </c>
      <c r="F405" t="str">
        <f>"EUROPA SYSTEM SRL - 02060730401"</f>
        <v>EUROPA SYSTEM SRL - 02060730401</v>
      </c>
      <c r="G405" t="str">
        <f>"121,00 EUR"</f>
        <v>121,00 EUR</v>
      </c>
      <c r="H405" t="str">
        <f>"14/01/2016 - 31/12/2016"</f>
        <v>14/01/2016 - 31/12/2016</v>
      </c>
      <c r="I405" t="str">
        <f>"121,00 EUR"</f>
        <v>121,00 EUR</v>
      </c>
    </row>
    <row r="406" spans="1:9" x14ac:dyDescent="0.25">
      <c r="A406" t="str">
        <f>"Z5B1801A3F"</f>
        <v>Z5B1801A3F</v>
      </c>
      <c r="B406" t="str">
        <f t="shared" si="101"/>
        <v>AC Ravenna - 00085710390</v>
      </c>
      <c r="C406" t="str">
        <f>"MANUTENZIONE IMMOBILE"</f>
        <v>MANUTENZIONE IMMOBILE</v>
      </c>
      <c r="D406" t="str">
        <f t="shared" si="106"/>
        <v>23-AFFIDAMENTO DIRETTO</v>
      </c>
      <c r="E406" t="str">
        <f>"ASSA ABLOY ENTRANCE SYSTEMS SPA - 08403530150"</f>
        <v>ASSA ABLOY ENTRANCE SYSTEMS SPA - 08403530150</v>
      </c>
      <c r="F406" t="str">
        <f>"ASSA ABLOY ENTRANCE SYSTEMS SPA - 08403530150"</f>
        <v>ASSA ABLOY ENTRANCE SYSTEMS SPA - 08403530150</v>
      </c>
      <c r="G406" t="str">
        <f>"348,00 EUR"</f>
        <v>348,00 EUR</v>
      </c>
      <c r="H406" t="str">
        <f>"13/01/2016 - 06/01/2016"</f>
        <v>13/01/2016 - 06/01/2016</v>
      </c>
      <c r="I406" t="str">
        <f>"348,00 EUR"</f>
        <v>348,00 EUR</v>
      </c>
    </row>
    <row r="407" spans="1:9" x14ac:dyDescent="0.25">
      <c r="A407" t="str">
        <f>"ZC717F2CAB"</f>
        <v>ZC717F2CAB</v>
      </c>
      <c r="B407" t="str">
        <f t="shared" si="101"/>
        <v>AC Ravenna - 00085710390</v>
      </c>
      <c r="C407" t="str">
        <f>"ACQUISTO CANCELLERIA"</f>
        <v>ACQUISTO CANCELLERIA</v>
      </c>
      <c r="D407" t="str">
        <f t="shared" si="106"/>
        <v>23-AFFIDAMENTO DIRETTO</v>
      </c>
      <c r="E407" t="str">
        <f>"NEOPOST ITALIA S.r.l. - 12535770155"</f>
        <v>NEOPOST ITALIA S.r.l. - 12535770155</v>
      </c>
      <c r="F407" t="str">
        <f>"NEOPOST ITALIA S.r.l. - 12535770155"</f>
        <v>NEOPOST ITALIA S.r.l. - 12535770155</v>
      </c>
      <c r="G407" t="str">
        <f>"200,00 EUR"</f>
        <v>200,00 EUR</v>
      </c>
      <c r="H407" t="str">
        <f>"11/01/2016 - 20/01/2016"</f>
        <v>11/01/2016 - 20/01/2016</v>
      </c>
      <c r="I407" t="str">
        <f>"200,00 EUR"</f>
        <v>200,00 EUR</v>
      </c>
    </row>
    <row r="408" spans="1:9" x14ac:dyDescent="0.25">
      <c r="A408" t="str">
        <f>"ZFA1612CAD"</f>
        <v>ZFA1612CAD</v>
      </c>
      <c r="B408" t="str">
        <f t="shared" si="101"/>
        <v>AC Ravenna - 00085710390</v>
      </c>
      <c r="C408" t="str">
        <f>"ASSISTENZA HARDWARE"</f>
        <v>ASSISTENZA HARDWARE</v>
      </c>
      <c r="D408" t="str">
        <f t="shared" si="106"/>
        <v>23-AFFIDAMENTO DIRETTO</v>
      </c>
      <c r="E408" t="str">
        <f>"HARVARD SERVICE S.r.l. - 02054730409"</f>
        <v>HARVARD SERVICE S.r.l. - 02054730409</v>
      </c>
      <c r="F408" t="str">
        <f>"HARVARD SERVICE S.r.l. - 02054730409"</f>
        <v>HARVARD SERVICE S.r.l. - 02054730409</v>
      </c>
      <c r="G408" t="str">
        <f>"2.892,00 EUR"</f>
        <v>2.892,00 EUR</v>
      </c>
      <c r="H408" t="str">
        <f>"22/09/2015 - 31/12/2015"</f>
        <v>22/09/2015 - 31/12/2015</v>
      </c>
      <c r="I408" t="str">
        <f>"2.892,00 EUR"</f>
        <v>2.892,00 EUR</v>
      </c>
    </row>
    <row r="409" spans="1:9" x14ac:dyDescent="0.25">
      <c r="A409" t="str">
        <f>"ZBF159603A"</f>
        <v>ZBF159603A</v>
      </c>
      <c r="B409" t="str">
        <f t="shared" si="101"/>
        <v>AC Ravenna - 00085710390</v>
      </c>
      <c r="C409" t="str">
        <f>"SERVIZIO VIGILANZA LOCALI SEDE"</f>
        <v>SERVIZIO VIGILANZA LOCALI SEDE</v>
      </c>
      <c r="D409" t="str">
        <f t="shared" si="106"/>
        <v>23-AFFIDAMENTO DIRETTO</v>
      </c>
      <c r="E409" t="str">
        <f>"I.B.S.ITALIA SRL - 02107450393"</f>
        <v>I.B.S.ITALIA SRL - 02107450393</v>
      </c>
      <c r="F409" t="str">
        <f>"I.B.S.ITALIA SRL - 02107450393"</f>
        <v>I.B.S.ITALIA SRL - 02107450393</v>
      </c>
      <c r="G409" t="str">
        <f>"360,00 EUR"</f>
        <v>360,00 EUR</v>
      </c>
      <c r="H409" t="str">
        <f>"30/07/2015 - 31/12/2015"</f>
        <v>30/07/2015 - 31/12/2015</v>
      </c>
      <c r="I409" t="str">
        <f>"360,00 EUR"</f>
        <v>360,00 EUR</v>
      </c>
    </row>
    <row r="410" spans="1:9" x14ac:dyDescent="0.25">
      <c r="A410" t="str">
        <f>"Z1213BA643"</f>
        <v>Z1213BA643</v>
      </c>
      <c r="B410" t="str">
        <f t="shared" si="101"/>
        <v>AC Ravenna - 00085710390</v>
      </c>
      <c r="C410" t="str">
        <f>"MANUTENZIONE IMMOBILE"</f>
        <v>MANUTENZIONE IMMOBILE</v>
      </c>
      <c r="D410" t="str">
        <f t="shared" si="106"/>
        <v>23-AFFIDAMENTO DIRETTO</v>
      </c>
      <c r="E410" t="str">
        <f>"NILO TERMOIDRAULICA SRL - 02500700394"</f>
        <v>NILO TERMOIDRAULICA SRL - 02500700394</v>
      </c>
      <c r="F410" t="str">
        <f>"NILO TERMOIDRAULICA SRL - 02500700394"</f>
        <v>NILO TERMOIDRAULICA SRL - 02500700394</v>
      </c>
      <c r="G410" t="str">
        <f>"80,00 EUR"</f>
        <v>80,00 EUR</v>
      </c>
      <c r="H410" t="str">
        <f>"19/03/2015 - 30/04/2015"</f>
        <v>19/03/2015 - 30/04/2015</v>
      </c>
      <c r="I410" t="str">
        <f>"80,00 EUR"</f>
        <v>80,00 EUR</v>
      </c>
    </row>
    <row r="411" spans="1:9" x14ac:dyDescent="0.25">
      <c r="A411" t="str">
        <f>"Z0B12FA687"</f>
        <v>Z0B12FA687</v>
      </c>
      <c r="B411" t="str">
        <f t="shared" si="101"/>
        <v>AC Ravenna - 00085710390</v>
      </c>
      <c r="C411" t="str">
        <f>"MODULISTICA UFF.AMM.NE"</f>
        <v>MODULISTICA UFF.AMM.NE</v>
      </c>
      <c r="D411" t="str">
        <f t="shared" si="106"/>
        <v>23-AFFIDAMENTO DIRETTO</v>
      </c>
      <c r="E411" t="str">
        <f>"TIPOLITOGRAFIA MAZZANTI S.r.l. - 02091850392"</f>
        <v>TIPOLITOGRAFIA MAZZANTI S.r.l. - 02091850392</v>
      </c>
      <c r="F411" t="str">
        <f>"TIPOLITOGRAFIA MAZZANTI S.r.l. - 02091850392"</f>
        <v>TIPOLITOGRAFIA MAZZANTI S.r.l. - 02091850392</v>
      </c>
      <c r="G411" t="str">
        <f>"84,00 EUR"</f>
        <v>84,00 EUR</v>
      </c>
      <c r="H411" t="str">
        <f>"29/01/2015 - 28/02/2015"</f>
        <v>29/01/2015 - 28/02/2015</v>
      </c>
      <c r="I411" t="str">
        <f>"84,00 EUR"</f>
        <v>84,00 EUR</v>
      </c>
    </row>
    <row r="412" spans="1:9" x14ac:dyDescent="0.25">
      <c r="A412" t="str">
        <f>"Z44130FB68"</f>
        <v>Z44130FB68</v>
      </c>
      <c r="B412" t="str">
        <f t="shared" si="101"/>
        <v>AC Ravenna - 00085710390</v>
      </c>
      <c r="C412" t="str">
        <f>"CANONE SOFTWARE APPLICATIVI"</f>
        <v>CANONE SOFTWARE APPLICATIVI</v>
      </c>
      <c r="D412" t="str">
        <f t="shared" si="106"/>
        <v>23-AFFIDAMENTO DIRETTO</v>
      </c>
      <c r="E412" t="str">
        <f>"HARVARD GROUP S.r.l. - 02254110402"</f>
        <v>HARVARD GROUP S.r.l. - 02254110402</v>
      </c>
      <c r="F412" t="str">
        <f>"HARVARD GROUP S.r.l. - 02254110402"</f>
        <v>HARVARD GROUP S.r.l. - 02254110402</v>
      </c>
      <c r="G412" t="str">
        <f>"8.559,00 EUR"</f>
        <v>8.559,00 EUR</v>
      </c>
      <c r="H412" t="str">
        <f>"04/02/2015 - 31/12/2015"</f>
        <v>04/02/2015 - 31/12/2015</v>
      </c>
      <c r="I412" t="str">
        <f>"8.559,00 EUR"</f>
        <v>8.559,00 EUR</v>
      </c>
    </row>
    <row r="413" spans="1:9" x14ac:dyDescent="0.25">
      <c r="A413" t="str">
        <f>"Z0A169B434"</f>
        <v>Z0A169B434</v>
      </c>
      <c r="B413" t="str">
        <f t="shared" si="101"/>
        <v>AC Ravenna - 00085710390</v>
      </c>
      <c r="C413" t="str">
        <f>"OMAGGIO CAMPAGNA SOCIALE 2016"</f>
        <v>OMAGGIO CAMPAGNA SOCIALE 2016</v>
      </c>
      <c r="D413" t="str">
        <f t="shared" si="106"/>
        <v>23-AFFIDAMENTO DIRETTO</v>
      </c>
      <c r="E413" t="str">
        <f>"BASI ACHILLE SRL - 01511590349"</f>
        <v>BASI ACHILLE SRL - 01511590349</v>
      </c>
      <c r="F413" t="str">
        <f>"BASI ACHILLE SRL - 01511590349"</f>
        <v>BASI ACHILLE SRL - 01511590349</v>
      </c>
      <c r="G413" t="str">
        <f>"16.770,00 EUR"</f>
        <v>16.770,00 EUR</v>
      </c>
      <c r="H413" t="str">
        <f>"29/10/2015 - 29/02/2016"</f>
        <v>29/10/2015 - 29/02/2016</v>
      </c>
      <c r="I413" t="str">
        <f>"0,00 EUR"</f>
        <v>0,00 EUR</v>
      </c>
    </row>
    <row r="414" spans="1:9" x14ac:dyDescent="0.25">
      <c r="A414" t="str">
        <f>"ZEF17BE853"</f>
        <v>ZEF17BE853</v>
      </c>
      <c r="B414" t="str">
        <f t="shared" si="101"/>
        <v>AC Ravenna - 00085710390</v>
      </c>
      <c r="C414" t="str">
        <f>"SERVIZIO SPEDIZIONE BOLSE"</f>
        <v>SERVIZIO SPEDIZIONE BOLSE</v>
      </c>
      <c r="D414" t="str">
        <f t="shared" si="106"/>
        <v>23-AFFIDAMENTO DIRETTO</v>
      </c>
      <c r="E414" t="str">
        <f t="shared" ref="E414:F416" si="107">"GAMMA INDIRIZZI SRL - 01048250391"</f>
        <v>GAMMA INDIRIZZI SRL - 01048250391</v>
      </c>
      <c r="F414" t="str">
        <f t="shared" si="107"/>
        <v>GAMMA INDIRIZZI SRL - 01048250391</v>
      </c>
      <c r="G414" t="str">
        <f>"1.951,00 EUR"</f>
        <v>1.951,00 EUR</v>
      </c>
      <c r="H414" t="str">
        <f>"22/12/2015 - 31/12/2015"</f>
        <v>22/12/2015 - 31/12/2015</v>
      </c>
      <c r="I414" t="str">
        <f>"0,00 EUR"</f>
        <v>0,00 EUR</v>
      </c>
    </row>
    <row r="415" spans="1:9" x14ac:dyDescent="0.25">
      <c r="A415" t="str">
        <f>"ZA417BE9AE"</f>
        <v>ZA417BE9AE</v>
      </c>
      <c r="B415" t="str">
        <f t="shared" si="101"/>
        <v>AC Ravenna - 00085710390</v>
      </c>
      <c r="C415" t="str">
        <f>"SERVIZIO SPEDIZIONE PATENTI"</f>
        <v>SERVIZIO SPEDIZIONE PATENTI</v>
      </c>
      <c r="D415" t="str">
        <f t="shared" si="106"/>
        <v>23-AFFIDAMENTO DIRETTO</v>
      </c>
      <c r="E415" t="str">
        <f t="shared" si="107"/>
        <v>GAMMA INDIRIZZI SRL - 01048250391</v>
      </c>
      <c r="F415" t="str">
        <f t="shared" si="107"/>
        <v>GAMMA INDIRIZZI SRL - 01048250391</v>
      </c>
      <c r="G415" t="str">
        <f>"81,00 EUR"</f>
        <v>81,00 EUR</v>
      </c>
      <c r="H415" t="str">
        <f>"22/12/2015 - 22/12/2015"</f>
        <v>22/12/2015 - 22/12/2015</v>
      </c>
      <c r="I415" t="str">
        <f>"0,00 EUR"</f>
        <v>0,00 EUR</v>
      </c>
    </row>
    <row r="416" spans="1:9" x14ac:dyDescent="0.25">
      <c r="A416" t="str">
        <f>"Z2C17BE8B6"</f>
        <v>Z2C17BE8B6</v>
      </c>
      <c r="B416" t="str">
        <f t="shared" si="101"/>
        <v>AC Ravenna - 00085710390</v>
      </c>
      <c r="C416" t="str">
        <f>"SERVIZIO SPEDIZIONE SOCI"</f>
        <v>SERVIZIO SPEDIZIONE SOCI</v>
      </c>
      <c r="D416" t="str">
        <f t="shared" si="106"/>
        <v>23-AFFIDAMENTO DIRETTO</v>
      </c>
      <c r="E416" t="str">
        <f t="shared" si="107"/>
        <v>GAMMA INDIRIZZI SRL - 01048250391</v>
      </c>
      <c r="F416" t="str">
        <f t="shared" si="107"/>
        <v>GAMMA INDIRIZZI SRL - 01048250391</v>
      </c>
      <c r="G416" t="str">
        <f>"195,00 EUR"</f>
        <v>195,00 EUR</v>
      </c>
      <c r="H416" t="str">
        <f>"22/12/2015 - 22/12/2015"</f>
        <v>22/12/2015 - 22/12/2015</v>
      </c>
      <c r="I416" t="str">
        <f>"0,00 EUR"</f>
        <v>0,00 EUR</v>
      </c>
    </row>
    <row r="417" spans="1:9" x14ac:dyDescent="0.25">
      <c r="A417" t="str">
        <f>"Z3517B33CA"</f>
        <v>Z3517B33CA</v>
      </c>
      <c r="B417" t="str">
        <f t="shared" si="101"/>
        <v>AC Ravenna - 00085710390</v>
      </c>
      <c r="C417" t="str">
        <f>"PULIZIA LOCALI"</f>
        <v>PULIZIA LOCALI</v>
      </c>
      <c r="D417" t="str">
        <f>"26-AFFIDAMENTO DIRETTO IN ADESIONE AD ACCORDO QUADRO/CONVENZIONE"</f>
        <v>26-AFFIDAMENTO DIRETTO IN ADESIONE AD ACCORDO QUADRO/CONVENZIONE</v>
      </c>
      <c r="E417" t="str">
        <f>"CENTRO IGIENE S.r.l. - 02368400392"</f>
        <v>CENTRO IGIENE S.r.l. - 02368400392</v>
      </c>
      <c r="F417" t="str">
        <f>"CENTRO IGIENE S.r.l. - 02368400392"</f>
        <v>CENTRO IGIENE S.r.l. - 02368400392</v>
      </c>
      <c r="G417" t="str">
        <f>"1.375,00 EUR"</f>
        <v>1.375,00 EUR</v>
      </c>
      <c r="H417" t="str">
        <f>"19/12/2015 - 30/01/2016"</f>
        <v>19/12/2015 - 30/01/2016</v>
      </c>
      <c r="I417" t="str">
        <f>"0,00 EUR"</f>
        <v>0,00 EUR</v>
      </c>
    </row>
    <row r="418" spans="1:9" x14ac:dyDescent="0.25">
      <c r="A418" t="str">
        <f>"ZDB1787760"</f>
        <v>ZDB1787760</v>
      </c>
      <c r="B418" t="str">
        <f t="shared" si="101"/>
        <v>AC Ravenna - 00085710390</v>
      </c>
      <c r="C418" t="str">
        <f>"SERVIZIO LEGGE 626"</f>
        <v>SERVIZIO LEGGE 626</v>
      </c>
      <c r="D418" t="str">
        <f>"23-AFFIDAMENTO DIRETTO"</f>
        <v>23-AFFIDAMENTO DIRETTO</v>
      </c>
      <c r="E418" t="str">
        <f>"ECHOS ENGINEERING SRL - 02003550395"</f>
        <v>ECHOS ENGINEERING SRL - 02003550395</v>
      </c>
      <c r="F418" t="str">
        <f>"ECHOS ENGINEERING SRL - 02003550395"</f>
        <v>ECHOS ENGINEERING SRL - 02003550395</v>
      </c>
      <c r="G418" t="str">
        <f>"480,00 EUR"</f>
        <v>480,00 EUR</v>
      </c>
      <c r="H418" t="str">
        <f>"10/12/2015 - 20/12/2015"</f>
        <v>10/12/2015 - 20/12/2015</v>
      </c>
      <c r="I418" t="str">
        <f>"480,00 EUR"</f>
        <v>480,00 EUR</v>
      </c>
    </row>
    <row r="419" spans="1:9" x14ac:dyDescent="0.25">
      <c r="A419" t="str">
        <f>"ZE717715B8"</f>
        <v>ZE717715B8</v>
      </c>
      <c r="B419" t="str">
        <f t="shared" si="101"/>
        <v>AC Ravenna - 00085710390</v>
      </c>
      <c r="C419" t="str">
        <f>"FORNITURA GASOLIO"</f>
        <v>FORNITURA GASOLIO</v>
      </c>
      <c r="D419" t="str">
        <f>"27-CONFRONTO COMPETITIVO IN ADESIONE AD ACCORDO QUADRO/CONVENZIONE"</f>
        <v>27-CONFRONTO COMPETITIVO IN ADESIONE AD ACCORDO QUADRO/CONVENZIONE</v>
      </c>
      <c r="E419" t="str">
        <f>"BRONCHI COMBUSTIBILI SRL - 01252710403"</f>
        <v>BRONCHI COMBUSTIBILI SRL - 01252710403</v>
      </c>
      <c r="F419" t="str">
        <f>"BRONCHI COMBUSTIBILI SRL - 01252710403"</f>
        <v>BRONCHI COMBUSTIBILI SRL - 01252710403</v>
      </c>
      <c r="G419" t="str">
        <f>"1.614,00 EUR"</f>
        <v>1.614,00 EUR</v>
      </c>
      <c r="H419" t="str">
        <f>"04/12/2015 - 31/01/2016"</f>
        <v>04/12/2015 - 31/01/2016</v>
      </c>
      <c r="I419" t="str">
        <f>"0,00 EUR"</f>
        <v>0,00 EUR</v>
      </c>
    </row>
    <row r="420" spans="1:9" x14ac:dyDescent="0.25">
      <c r="A420" t="str">
        <f>"ZA21765499"</f>
        <v>ZA21765499</v>
      </c>
      <c r="B420" t="str">
        <f t="shared" si="101"/>
        <v>AC Ravenna - 00085710390</v>
      </c>
      <c r="C420" t="str">
        <f>"ASSISTENZA HOSTING"</f>
        <v>ASSISTENZA HOSTING</v>
      </c>
      <c r="D420" t="str">
        <f t="shared" ref="D420:D444" si="108">"23-AFFIDAMENTO DIRETTO"</f>
        <v>23-AFFIDAMENTO DIRETTO</v>
      </c>
      <c r="E420" t="str">
        <f>"FARNEDI ICT SRL - 03840520401"</f>
        <v>FARNEDI ICT SRL - 03840520401</v>
      </c>
      <c r="F420" t="str">
        <f>"FARNEDI ICT SRL - 03840520401"</f>
        <v>FARNEDI ICT SRL - 03840520401</v>
      </c>
      <c r="G420" t="str">
        <f>"547,00 EUR"</f>
        <v>547,00 EUR</v>
      </c>
      <c r="H420" t="str">
        <f>"02/12/2015 - 15/12/2015"</f>
        <v>02/12/2015 - 15/12/2015</v>
      </c>
      <c r="I420" t="str">
        <f>"547,00 EUR"</f>
        <v>547,00 EUR</v>
      </c>
    </row>
    <row r="421" spans="1:9" x14ac:dyDescent="0.25">
      <c r="A421" t="str">
        <f>"ZAD17483E1"</f>
        <v>ZAD17483E1</v>
      </c>
      <c r="B421" t="str">
        <f t="shared" si="101"/>
        <v>AC Ravenna - 00085710390</v>
      </c>
      <c r="C421" t="str">
        <f>"SERVIZIO SPEDIZIONE BOLSE"</f>
        <v>SERVIZIO SPEDIZIONE BOLSE</v>
      </c>
      <c r="D421" t="str">
        <f t="shared" si="108"/>
        <v>23-AFFIDAMENTO DIRETTO</v>
      </c>
      <c r="E421" t="str">
        <f t="shared" ref="E421:F423" si="109">"GAMMA INDIRIZZI SRL - 01048250391"</f>
        <v>GAMMA INDIRIZZI SRL - 01048250391</v>
      </c>
      <c r="F421" t="str">
        <f t="shared" si="109"/>
        <v>GAMMA INDIRIZZI SRL - 01048250391</v>
      </c>
      <c r="G421" t="str">
        <f>"520,00 EUR"</f>
        <v>520,00 EUR</v>
      </c>
      <c r="H421" t="str">
        <f>"25/11/2015 - 30/11/2015"</f>
        <v>25/11/2015 - 30/11/2015</v>
      </c>
      <c r="I421" t="str">
        <f>"520,00 EUR"</f>
        <v>520,00 EUR</v>
      </c>
    </row>
    <row r="422" spans="1:9" x14ac:dyDescent="0.25">
      <c r="A422" t="str">
        <f>"Z1117483FE"</f>
        <v>Z1117483FE</v>
      </c>
      <c r="B422" t="str">
        <f t="shared" si="101"/>
        <v>AC Ravenna - 00085710390</v>
      </c>
      <c r="C422" t="str">
        <f>"SERVIZIO SPEDIZIONE SOCI"</f>
        <v>SERVIZIO SPEDIZIONE SOCI</v>
      </c>
      <c r="D422" t="str">
        <f t="shared" si="108"/>
        <v>23-AFFIDAMENTO DIRETTO</v>
      </c>
      <c r="E422" t="str">
        <f t="shared" si="109"/>
        <v>GAMMA INDIRIZZI SRL - 01048250391</v>
      </c>
      <c r="F422" t="str">
        <f t="shared" si="109"/>
        <v>GAMMA INDIRIZZI SRL - 01048250391</v>
      </c>
      <c r="G422" t="str">
        <f>"225,00 EUR"</f>
        <v>225,00 EUR</v>
      </c>
      <c r="H422" t="str">
        <f>"25/11/2015 - 30/11/2015"</f>
        <v>25/11/2015 - 30/11/2015</v>
      </c>
      <c r="I422" t="str">
        <f>"225,00 EUR"</f>
        <v>225,00 EUR</v>
      </c>
    </row>
    <row r="423" spans="1:9" x14ac:dyDescent="0.25">
      <c r="A423" t="str">
        <f>"Z70174841B"</f>
        <v>Z70174841B</v>
      </c>
      <c r="B423" t="str">
        <f t="shared" si="101"/>
        <v>AC Ravenna - 00085710390</v>
      </c>
      <c r="C423" t="str">
        <f>"SERVIZIO SPEDIZIONE PATENTI"</f>
        <v>SERVIZIO SPEDIZIONE PATENTI</v>
      </c>
      <c r="D423" t="str">
        <f t="shared" si="108"/>
        <v>23-AFFIDAMENTO DIRETTO</v>
      </c>
      <c r="E423" t="str">
        <f t="shared" si="109"/>
        <v>GAMMA INDIRIZZI SRL - 01048250391</v>
      </c>
      <c r="F423" t="str">
        <f t="shared" si="109"/>
        <v>GAMMA INDIRIZZI SRL - 01048250391</v>
      </c>
      <c r="G423" t="str">
        <f>"270,00 EUR"</f>
        <v>270,00 EUR</v>
      </c>
      <c r="H423" t="str">
        <f>"25/11/2015 - 27/11/2015"</f>
        <v>25/11/2015 - 27/11/2015</v>
      </c>
      <c r="I423" t="str">
        <f>"270,00 EUR"</f>
        <v>270,00 EUR</v>
      </c>
    </row>
    <row r="424" spans="1:9" x14ac:dyDescent="0.25">
      <c r="A424" t="str">
        <f>"Z60174024B"</f>
        <v>Z60174024B</v>
      </c>
      <c r="B424" t="str">
        <f t="shared" si="101"/>
        <v>AC Ravenna - 00085710390</v>
      </c>
      <c r="C424" t="str">
        <f>"PULIZIA LOCALI"</f>
        <v>PULIZIA LOCALI</v>
      </c>
      <c r="D424" t="str">
        <f t="shared" si="108"/>
        <v>23-AFFIDAMENTO DIRETTO</v>
      </c>
      <c r="E424" t="str">
        <f>"CENTRO IGIENE S.r.l. - 02368400392"</f>
        <v>CENTRO IGIENE S.r.l. - 02368400392</v>
      </c>
      <c r="F424" t="str">
        <f>"CENTRO IGIENE S.r.l. - 02368400392"</f>
        <v>CENTRO IGIENE S.r.l. - 02368400392</v>
      </c>
      <c r="G424" t="str">
        <f>"1.375,00 EUR"</f>
        <v>1.375,00 EUR</v>
      </c>
      <c r="H424" t="str">
        <f>"24/11/2015 - 31/12/2015"</f>
        <v>24/11/2015 - 31/12/2015</v>
      </c>
      <c r="I424" t="str">
        <f>"1.375,00 EUR"</f>
        <v>1.375,00 EUR</v>
      </c>
    </row>
    <row r="425" spans="1:9" x14ac:dyDescent="0.25">
      <c r="A425" t="str">
        <f>"Z391728043"</f>
        <v>Z391728043</v>
      </c>
      <c r="B425" t="str">
        <f t="shared" si="101"/>
        <v>AC Ravenna - 00085710390</v>
      </c>
      <c r="C425" t="str">
        <f>"ASSISTENZA HARDWARE"</f>
        <v>ASSISTENZA HARDWARE</v>
      </c>
      <c r="D425" t="str">
        <f t="shared" si="108"/>
        <v>23-AFFIDAMENTO DIRETTO</v>
      </c>
      <c r="E425" t="str">
        <f>"HARVARD SERVICE S.r.l. - 02054730409"</f>
        <v>HARVARD SERVICE S.r.l. - 02054730409</v>
      </c>
      <c r="F425" t="str">
        <f>"HARVARD SERVICE S.r.l. - 02054730409"</f>
        <v>HARVARD SERVICE S.r.l. - 02054730409</v>
      </c>
      <c r="G425" t="str">
        <f>"922,00 EUR"</f>
        <v>922,00 EUR</v>
      </c>
      <c r="H425" t="str">
        <f>"18/11/2015 - 25/11/2015"</f>
        <v>18/11/2015 - 25/11/2015</v>
      </c>
      <c r="I425" t="str">
        <f>"922,00 EUR"</f>
        <v>922,00 EUR</v>
      </c>
    </row>
    <row r="426" spans="1:9" x14ac:dyDescent="0.25">
      <c r="A426" t="str">
        <f>"ZBB1704850"</f>
        <v>ZBB1704850</v>
      </c>
      <c r="B426" t="str">
        <f t="shared" si="101"/>
        <v>AC Ravenna - 00085710390</v>
      </c>
      <c r="C426" t="str">
        <f>"SERVIZIO SPEDIZIONE PATENTI"</f>
        <v>SERVIZIO SPEDIZIONE PATENTI</v>
      </c>
      <c r="D426" t="str">
        <f t="shared" si="108"/>
        <v>23-AFFIDAMENTO DIRETTO</v>
      </c>
      <c r="E426" t="str">
        <f t="shared" ref="E426:F428" si="110">"GAMMA INDIRIZZI SRL - 01048250391"</f>
        <v>GAMMA INDIRIZZI SRL - 01048250391</v>
      </c>
      <c r="F426" t="str">
        <f t="shared" si="110"/>
        <v>GAMMA INDIRIZZI SRL - 01048250391</v>
      </c>
      <c r="G426" t="str">
        <f>"52,00 EUR"</f>
        <v>52,00 EUR</v>
      </c>
      <c r="H426" t="str">
        <f>"09/11/2015 - 22/11/2015"</f>
        <v>09/11/2015 - 22/11/2015</v>
      </c>
      <c r="I426" t="str">
        <f>"52,00 EUR"</f>
        <v>52,00 EUR</v>
      </c>
    </row>
    <row r="427" spans="1:9" x14ac:dyDescent="0.25">
      <c r="A427" t="str">
        <f>"ZCD1704843"</f>
        <v>ZCD1704843</v>
      </c>
      <c r="B427" t="str">
        <f t="shared" si="101"/>
        <v>AC Ravenna - 00085710390</v>
      </c>
      <c r="C427" t="str">
        <f>"SERVIZIO SPEDIZIONE SOCI"</f>
        <v>SERVIZIO SPEDIZIONE SOCI</v>
      </c>
      <c r="D427" t="str">
        <f t="shared" si="108"/>
        <v>23-AFFIDAMENTO DIRETTO</v>
      </c>
      <c r="E427" t="str">
        <f t="shared" si="110"/>
        <v>GAMMA INDIRIZZI SRL - 01048250391</v>
      </c>
      <c r="F427" t="str">
        <f t="shared" si="110"/>
        <v>GAMMA INDIRIZZI SRL - 01048250391</v>
      </c>
      <c r="G427" t="str">
        <f>"192,00 EUR"</f>
        <v>192,00 EUR</v>
      </c>
      <c r="H427" t="str">
        <f>"09/11/2015 - 31/12/2015"</f>
        <v>09/11/2015 - 31/12/2015</v>
      </c>
      <c r="I427" t="str">
        <f>"192,00 EUR"</f>
        <v>192,00 EUR</v>
      </c>
    </row>
    <row r="428" spans="1:9" x14ac:dyDescent="0.25">
      <c r="A428" t="str">
        <f>"ZD617047BF"</f>
        <v>ZD617047BF</v>
      </c>
      <c r="B428" t="str">
        <f t="shared" si="101"/>
        <v>AC Ravenna - 00085710390</v>
      </c>
      <c r="C428" t="str">
        <f>"SERVIZIO SPEDIZIONE BOLSE"</f>
        <v>SERVIZIO SPEDIZIONE BOLSE</v>
      </c>
      <c r="D428" t="str">
        <f t="shared" si="108"/>
        <v>23-AFFIDAMENTO DIRETTO</v>
      </c>
      <c r="E428" t="str">
        <f t="shared" si="110"/>
        <v>GAMMA INDIRIZZI SRL - 01048250391</v>
      </c>
      <c r="F428" t="str">
        <f t="shared" si="110"/>
        <v>GAMMA INDIRIZZI SRL - 01048250391</v>
      </c>
      <c r="G428" t="str">
        <f>"1.701,00 EUR"</f>
        <v>1.701,00 EUR</v>
      </c>
      <c r="H428" t="str">
        <f>"09/11/2015 - 31/12/2015"</f>
        <v>09/11/2015 - 31/12/2015</v>
      </c>
      <c r="I428" t="str">
        <f>"1.701,00 EUR"</f>
        <v>1.701,00 EUR</v>
      </c>
    </row>
    <row r="429" spans="1:9" x14ac:dyDescent="0.25">
      <c r="A429" t="str">
        <f>"Z1F129C5FF"</f>
        <v>Z1F129C5FF</v>
      </c>
      <c r="B429" t="str">
        <f t="shared" ref="B429:B492" si="111">"AC Ravenna - 00085710390"</f>
        <v>AC Ravenna - 00085710390</v>
      </c>
      <c r="C429" t="str">
        <f>"RACCOGLITORI ARCHIVIO"</f>
        <v>RACCOGLITORI ARCHIVIO</v>
      </c>
      <c r="D429" t="str">
        <f t="shared" si="108"/>
        <v>23-AFFIDAMENTO DIRETTO</v>
      </c>
      <c r="E429" t="str">
        <f>"EUROPA SYSTEM SRL - 02060730401"</f>
        <v>EUROPA SYSTEM SRL - 02060730401</v>
      </c>
      <c r="F429" t="str">
        <f>"EUROPA SYSTEM SRL - 02060730401"</f>
        <v>EUROPA SYSTEM SRL - 02060730401</v>
      </c>
      <c r="G429" t="str">
        <f>"72,00 EUR"</f>
        <v>72,00 EUR</v>
      </c>
      <c r="H429" t="str">
        <f>"07/01/2015 - 02/03/2015"</f>
        <v>07/01/2015 - 02/03/2015</v>
      </c>
      <c r="I429" t="str">
        <f>"72,00 EUR"</f>
        <v>72,00 EUR</v>
      </c>
    </row>
    <row r="430" spans="1:9" x14ac:dyDescent="0.25">
      <c r="A430" t="str">
        <f>"ZF816CBE22"</f>
        <v>ZF816CBE22</v>
      </c>
      <c r="B430" t="str">
        <f t="shared" si="111"/>
        <v>AC Ravenna - 00085710390</v>
      </c>
      <c r="C430" t="str">
        <f>"MANUTENZIONE IMPIANTI"</f>
        <v>MANUTENZIONE IMPIANTI</v>
      </c>
      <c r="D430" t="str">
        <f t="shared" si="108"/>
        <v>23-AFFIDAMENTO DIRETTO</v>
      </c>
      <c r="E430" t="str">
        <f>"NILO TERMOIDRAULICA SRL - 02500700394"</f>
        <v>NILO TERMOIDRAULICA SRL - 02500700394</v>
      </c>
      <c r="F430" t="str">
        <f>"NILO TERMOIDRAULICA SRL - 02500700394"</f>
        <v>NILO TERMOIDRAULICA SRL - 02500700394</v>
      </c>
      <c r="G430" t="str">
        <f>"840,00 EUR"</f>
        <v>840,00 EUR</v>
      </c>
      <c r="H430" t="str">
        <f>"28/10/2015 - 26/11/2015"</f>
        <v>28/10/2015 - 26/11/2015</v>
      </c>
      <c r="I430" t="str">
        <f>"840,00 EUR"</f>
        <v>840,00 EUR</v>
      </c>
    </row>
    <row r="431" spans="1:9" x14ac:dyDescent="0.25">
      <c r="A431" t="str">
        <f>"Z5E16CBDCE"</f>
        <v>Z5E16CBDCE</v>
      </c>
      <c r="B431" t="str">
        <f t="shared" si="111"/>
        <v>AC Ravenna - 00085710390</v>
      </c>
      <c r="C431" t="str">
        <f>"PULIZIE LOCALI"</f>
        <v>PULIZIE LOCALI</v>
      </c>
      <c r="D431" t="str">
        <f t="shared" si="108"/>
        <v>23-AFFIDAMENTO DIRETTO</v>
      </c>
      <c r="E431" t="str">
        <f>"CENTRO IGIENE S.r.l. - 02368400392"</f>
        <v>CENTRO IGIENE S.r.l. - 02368400392</v>
      </c>
      <c r="F431" t="str">
        <f>"CENTRO IGIENE S.r.l. - 02368400392"</f>
        <v>CENTRO IGIENE S.r.l. - 02368400392</v>
      </c>
      <c r="G431" t="str">
        <f>"1.375,00 EUR"</f>
        <v>1.375,00 EUR</v>
      </c>
      <c r="H431" t="str">
        <f>"28/10/2015 - 05/11/2015"</f>
        <v>28/10/2015 - 05/11/2015</v>
      </c>
      <c r="I431" t="str">
        <f>"1.375,00 EUR"</f>
        <v>1.375,00 EUR</v>
      </c>
    </row>
    <row r="432" spans="1:9" x14ac:dyDescent="0.25">
      <c r="A432" t="str">
        <f>"ZCC16DB619"</f>
        <v>ZCC16DB619</v>
      </c>
      <c r="B432" t="str">
        <f t="shared" si="111"/>
        <v>AC Ravenna - 00085710390</v>
      </c>
      <c r="C432" t="str">
        <f>"ACQUISTO MATERIALE ELETTRICO"</f>
        <v>ACQUISTO MATERIALE ELETTRICO</v>
      </c>
      <c r="D432" t="str">
        <f t="shared" si="108"/>
        <v>23-AFFIDAMENTO DIRETTO</v>
      </c>
      <c r="E432" t="str">
        <f>"MORGAGNI BENIAMINO - MRGBMN61C31H199N"</f>
        <v>MORGAGNI BENIAMINO - MRGBMN61C31H199N</v>
      </c>
      <c r="F432" t="str">
        <f>"MORGAGNI BENIAMINO - MRGBMN61C31H199N"</f>
        <v>MORGAGNI BENIAMINO - MRGBMN61C31H199N</v>
      </c>
      <c r="G432" t="str">
        <f>"75,00 EUR"</f>
        <v>75,00 EUR</v>
      </c>
      <c r="H432" t="str">
        <f>"29/10/2015 - 31/12/2015"</f>
        <v>29/10/2015 - 31/12/2015</v>
      </c>
      <c r="I432" t="str">
        <f>"75,00 EUR"</f>
        <v>75,00 EUR</v>
      </c>
    </row>
    <row r="433" spans="1:9" x14ac:dyDescent="0.25">
      <c r="A433" t="str">
        <f>"ZE316DB66A"</f>
        <v>ZE316DB66A</v>
      </c>
      <c r="B433" t="str">
        <f t="shared" si="111"/>
        <v>AC Ravenna - 00085710390</v>
      </c>
      <c r="C433" t="str">
        <f>"MANUTENZIONE IMPIANTI"</f>
        <v>MANUTENZIONE IMPIANTI</v>
      </c>
      <c r="D433" t="str">
        <f t="shared" si="108"/>
        <v>23-AFFIDAMENTO DIRETTO</v>
      </c>
      <c r="E433" t="str">
        <f>"MORGAGNI BENIAMINO - MRGBMN61C31H199N"</f>
        <v>MORGAGNI BENIAMINO - MRGBMN61C31H199N</v>
      </c>
      <c r="F433" t="str">
        <f>"MORGAGNI BENIAMINO - MRGBMN61C31H199N"</f>
        <v>MORGAGNI BENIAMINO - MRGBMN61C31H199N</v>
      </c>
      <c r="G433" t="str">
        <f>"313,00 EUR"</f>
        <v>313,00 EUR</v>
      </c>
      <c r="H433" t="str">
        <f>"30/10/2015 - 27/12/2015"</f>
        <v>30/10/2015 - 27/12/2015</v>
      </c>
      <c r="I433" t="str">
        <f>"313,00 EUR"</f>
        <v>313,00 EUR</v>
      </c>
    </row>
    <row r="434" spans="1:9" x14ac:dyDescent="0.25">
      <c r="A434" t="str">
        <f>"ZA116DD79C"</f>
        <v>ZA116DD79C</v>
      </c>
      <c r="B434" t="str">
        <f t="shared" si="111"/>
        <v>AC Ravenna - 00085710390</v>
      </c>
      <c r="C434" t="str">
        <f>"MANUTENZIONE IMPIANTI"</f>
        <v>MANUTENZIONE IMPIANTI</v>
      </c>
      <c r="D434" t="str">
        <f t="shared" si="108"/>
        <v>23-AFFIDAMENTO DIRETTO</v>
      </c>
      <c r="E434" t="str">
        <f>"ECIS ELETTRONICA SAS - 01400920391"</f>
        <v>ECIS ELETTRONICA SAS - 01400920391</v>
      </c>
      <c r="F434" t="str">
        <f>"ECIS ELETTRONICA SAS - 01400920391"</f>
        <v>ECIS ELETTRONICA SAS - 01400920391</v>
      </c>
      <c r="G434" t="str">
        <f>"60,00 EUR"</f>
        <v>60,00 EUR</v>
      </c>
      <c r="H434" t="str">
        <f>"30/10/2015 - 05/11/2015"</f>
        <v>30/10/2015 - 05/11/2015</v>
      </c>
      <c r="I434" t="str">
        <f>"60,00 EUR"</f>
        <v>60,00 EUR</v>
      </c>
    </row>
    <row r="435" spans="1:9" x14ac:dyDescent="0.25">
      <c r="A435" t="str">
        <f>"Z231677E59"</f>
        <v>Z231677E59</v>
      </c>
      <c r="B435" t="str">
        <f t="shared" si="111"/>
        <v>AC Ravenna - 00085710390</v>
      </c>
      <c r="C435" t="str">
        <f t="shared" ref="C435:C443" si="112">"COMPENSO PROVV.LE"</f>
        <v>COMPENSO PROVV.LE</v>
      </c>
      <c r="D435" t="str">
        <f t="shared" si="108"/>
        <v>23-AFFIDAMENTO DIRETTO</v>
      </c>
      <c r="E435" t="str">
        <f>"AG.ARRIGONI SNC - 01250060397"</f>
        <v>AG.ARRIGONI SNC - 01250060397</v>
      </c>
      <c r="F435" t="str">
        <f>"AG.ARRIGONI SNC - 01250060397"</f>
        <v>AG.ARRIGONI SNC - 01250060397</v>
      </c>
      <c r="G435" t="str">
        <f>"961,00 EUR"</f>
        <v>961,00 EUR</v>
      </c>
      <c r="H435" t="str">
        <f>"01/01/2015 - 31/12/2015"</f>
        <v>01/01/2015 - 31/12/2015</v>
      </c>
      <c r="I435" t="str">
        <f>"0,00 EUR"</f>
        <v>0,00 EUR</v>
      </c>
    </row>
    <row r="436" spans="1:9" x14ac:dyDescent="0.25">
      <c r="A436" t="str">
        <f>"Z891677E63"</f>
        <v>Z891677E63</v>
      </c>
      <c r="B436" t="str">
        <f t="shared" si="111"/>
        <v>AC Ravenna - 00085710390</v>
      </c>
      <c r="C436" t="str">
        <f t="shared" si="112"/>
        <v>COMPENSO PROVV.LE</v>
      </c>
      <c r="D436" t="str">
        <f t="shared" si="108"/>
        <v>23-AFFIDAMENTO DIRETTO</v>
      </c>
      <c r="E436" t="str">
        <f>"UNIAUTO SNC - 02106480391"</f>
        <v>UNIAUTO SNC - 02106480391</v>
      </c>
      <c r="F436" t="str">
        <f>"UNIAUTO SNC - 02106480391"</f>
        <v>UNIAUTO SNC - 02106480391</v>
      </c>
      <c r="G436" t="str">
        <f>"260,00 EUR"</f>
        <v>260,00 EUR</v>
      </c>
      <c r="H436" t="str">
        <f>"10/10/2015 - 31/12/2015"</f>
        <v>10/10/2015 - 31/12/2015</v>
      </c>
      <c r="I436" t="str">
        <f>"0,00 EUR"</f>
        <v>0,00 EUR</v>
      </c>
    </row>
    <row r="437" spans="1:9" x14ac:dyDescent="0.25">
      <c r="A437" t="str">
        <f>"Z111677E66"</f>
        <v>Z111677E66</v>
      </c>
      <c r="B437" t="str">
        <f t="shared" si="111"/>
        <v>AC Ravenna - 00085710390</v>
      </c>
      <c r="C437" t="str">
        <f t="shared" si="112"/>
        <v>COMPENSO PROVV.LE</v>
      </c>
      <c r="D437" t="str">
        <f t="shared" si="108"/>
        <v>23-AFFIDAMENTO DIRETTO</v>
      </c>
      <c r="E437" t="str">
        <f>"STUDIO PRAT.AUTO ZANGHERI - ZNGNTN57D02D121Y"</f>
        <v>STUDIO PRAT.AUTO ZANGHERI - ZNGNTN57D02D121Y</v>
      </c>
      <c r="F437" t="str">
        <f>"STUDIO PRAT.AUTO ZANGHERI - ZNGNTN57D02D121Y"</f>
        <v>STUDIO PRAT.AUTO ZANGHERI - ZNGNTN57D02D121Y</v>
      </c>
      <c r="G437" t="str">
        <f>"359,00 EUR"</f>
        <v>359,00 EUR</v>
      </c>
      <c r="H437" t="str">
        <f>"10/10/2015 - 31/12/2015"</f>
        <v>10/10/2015 - 31/12/2015</v>
      </c>
      <c r="I437" t="str">
        <f>"0,00 EUR"</f>
        <v>0,00 EUR</v>
      </c>
    </row>
    <row r="438" spans="1:9" x14ac:dyDescent="0.25">
      <c r="A438" t="str">
        <f>"Z771677E70"</f>
        <v>Z771677E70</v>
      </c>
      <c r="B438" t="str">
        <f t="shared" si="111"/>
        <v>AC Ravenna - 00085710390</v>
      </c>
      <c r="C438" t="str">
        <f t="shared" si="112"/>
        <v>COMPENSO PROVV.LE</v>
      </c>
      <c r="D438" t="str">
        <f t="shared" si="108"/>
        <v>23-AFFIDAMENTO DIRETTO</v>
      </c>
      <c r="E438" t="str">
        <f>"APA 2000 SNC - 02278180399"</f>
        <v>APA 2000 SNC - 02278180399</v>
      </c>
      <c r="F438" t="str">
        <f>"APA 2000 SNC - 02278180399"</f>
        <v>APA 2000 SNC - 02278180399</v>
      </c>
      <c r="G438" t="str">
        <f>"759,00 EUR"</f>
        <v>759,00 EUR</v>
      </c>
      <c r="H438" t="str">
        <f>"10/10/2015 - 31/12/2015"</f>
        <v>10/10/2015 - 31/12/2015</v>
      </c>
      <c r="I438" t="str">
        <f>"759,00 EUR"</f>
        <v>759,00 EUR</v>
      </c>
    </row>
    <row r="439" spans="1:9" x14ac:dyDescent="0.25">
      <c r="A439" t="str">
        <f>"Z821677E76"</f>
        <v>Z821677E76</v>
      </c>
      <c r="B439" t="str">
        <f t="shared" si="111"/>
        <v>AC Ravenna - 00085710390</v>
      </c>
      <c r="C439" t="str">
        <f t="shared" si="112"/>
        <v>COMPENSO PROVV.LE</v>
      </c>
      <c r="D439" t="str">
        <f t="shared" si="108"/>
        <v>23-AFFIDAMENTO DIRETTO</v>
      </c>
      <c r="E439" t="str">
        <f>"AG.BENELLI SNC - 01290670395"</f>
        <v>AG.BENELLI SNC - 01290670395</v>
      </c>
      <c r="F439" t="str">
        <f>"AG.BENELLI SNC - 01290670395"</f>
        <v>AG.BENELLI SNC - 01290670395</v>
      </c>
      <c r="G439" t="str">
        <f>"695,00 EUR"</f>
        <v>695,00 EUR</v>
      </c>
      <c r="H439" t="str">
        <f>"10/10/2015 - 25/12/2015"</f>
        <v>10/10/2015 - 25/12/2015</v>
      </c>
      <c r="I439" t="str">
        <f>"0,00 EUR"</f>
        <v>0,00 EUR</v>
      </c>
    </row>
    <row r="440" spans="1:9" x14ac:dyDescent="0.25">
      <c r="A440" t="str">
        <f>"Z481677E84"</f>
        <v>Z481677E84</v>
      </c>
      <c r="B440" t="str">
        <f t="shared" si="111"/>
        <v>AC Ravenna - 00085710390</v>
      </c>
      <c r="C440" t="str">
        <f t="shared" si="112"/>
        <v>COMPENSO PROVV.LE</v>
      </c>
      <c r="D440" t="str">
        <f t="shared" si="108"/>
        <v>23-AFFIDAMENTO DIRETTO</v>
      </c>
      <c r="E440" t="str">
        <f>"AG.DE MODENA - DMDSMN69S47H199N"</f>
        <v>AG.DE MODENA - DMDSMN69S47H199N</v>
      </c>
      <c r="F440" t="str">
        <f>"AG.DE MODENA - DMDSMN69S47H199N"</f>
        <v>AG.DE MODENA - DMDSMN69S47H199N</v>
      </c>
      <c r="G440" t="str">
        <f>"542,00 EUR"</f>
        <v>542,00 EUR</v>
      </c>
      <c r="H440" t="str">
        <f>"10/10/2015 - 22/12/2015"</f>
        <v>10/10/2015 - 22/12/2015</v>
      </c>
      <c r="I440" t="str">
        <f>"0,00 EUR"</f>
        <v>0,00 EUR</v>
      </c>
    </row>
    <row r="441" spans="1:9" x14ac:dyDescent="0.25">
      <c r="A441" t="str">
        <f>"Z061677E60"</f>
        <v>Z061677E60</v>
      </c>
      <c r="B441" t="str">
        <f t="shared" si="111"/>
        <v>AC Ravenna - 00085710390</v>
      </c>
      <c r="C441" t="str">
        <f t="shared" si="112"/>
        <v>COMPENSO PROVV.LE</v>
      </c>
      <c r="D441" t="str">
        <f t="shared" si="108"/>
        <v>23-AFFIDAMENTO DIRETTO</v>
      </c>
      <c r="E441" t="str">
        <f>"A.G.C.AG.GEN.CERVIA SAS - 00892450396"</f>
        <v>A.G.C.AG.GEN.CERVIA SAS - 00892450396</v>
      </c>
      <c r="F441" t="str">
        <f>"A.G.C.AG.GEN.CERVIA SAS - 00892450396"</f>
        <v>A.G.C.AG.GEN.CERVIA SAS - 00892450396</v>
      </c>
      <c r="G441" t="str">
        <f>"1.893,00 EUR"</f>
        <v>1.893,00 EUR</v>
      </c>
      <c r="H441" t="str">
        <f>"10/10/2015 - 31/12/2015"</f>
        <v>10/10/2015 - 31/12/2015</v>
      </c>
      <c r="I441" t="str">
        <f>"0,00 EUR"</f>
        <v>0,00 EUR</v>
      </c>
    </row>
    <row r="442" spans="1:9" x14ac:dyDescent="0.25">
      <c r="A442" t="str">
        <f>"Z2B1677E8B"</f>
        <v>Z2B1677E8B</v>
      </c>
      <c r="B442" t="str">
        <f t="shared" si="111"/>
        <v>AC Ravenna - 00085710390</v>
      </c>
      <c r="C442" t="str">
        <f t="shared" si="112"/>
        <v>COMPENSO PROVV.LE</v>
      </c>
      <c r="D442" t="str">
        <f t="shared" si="108"/>
        <v>23-AFFIDAMENTO DIRETTO</v>
      </c>
      <c r="E442" t="str">
        <f>"C.A.F. COOP AUTOSC.FAENZA - 00109780395"</f>
        <v>C.A.F. COOP AUTOSC.FAENZA - 00109780395</v>
      </c>
      <c r="F442" t="str">
        <f>"C.A.F. COOP AUTOSC.FAENZA - 00109780395"</f>
        <v>C.A.F. COOP AUTOSC.FAENZA - 00109780395</v>
      </c>
      <c r="G442" t="str">
        <f>"4.725,00 EUR"</f>
        <v>4.725,00 EUR</v>
      </c>
      <c r="H442" t="str">
        <f>"10/10/2015 - 30/11/2015"</f>
        <v>10/10/2015 - 30/11/2015</v>
      </c>
      <c r="I442" t="str">
        <f>"4.725,00 EUR"</f>
        <v>4.725,00 EUR</v>
      </c>
    </row>
    <row r="443" spans="1:9" x14ac:dyDescent="0.25">
      <c r="A443" t="str">
        <f>"Z861677E8F"</f>
        <v>Z861677E8F</v>
      </c>
      <c r="B443" t="str">
        <f t="shared" si="111"/>
        <v>AC Ravenna - 00085710390</v>
      </c>
      <c r="C443" t="str">
        <f t="shared" si="112"/>
        <v>COMPENSO PROVV.LE</v>
      </c>
      <c r="D443" t="str">
        <f t="shared" si="108"/>
        <v>23-AFFIDAMENTO DIRETTO</v>
      </c>
      <c r="E443" t="str">
        <f>"S.A.L. SRL - 01152550396"</f>
        <v>S.A.L. SRL - 01152550396</v>
      </c>
      <c r="F443" t="str">
        <f>"S.A.L. SRL - 01152550396"</f>
        <v>S.A.L. SRL - 01152550396</v>
      </c>
      <c r="G443" t="str">
        <f>"3.482,00 EUR"</f>
        <v>3.482,00 EUR</v>
      </c>
      <c r="H443" t="str">
        <f>"10/10/2015 - 31/12/2015"</f>
        <v>10/10/2015 - 31/12/2015</v>
      </c>
      <c r="I443" t="str">
        <f>"0,00 EUR"</f>
        <v>0,00 EUR</v>
      </c>
    </row>
    <row r="444" spans="1:9" x14ac:dyDescent="0.25">
      <c r="A444" t="str">
        <f>"ZCF1660A0C"</f>
        <v>ZCF1660A0C</v>
      </c>
      <c r="B444" t="str">
        <f t="shared" si="111"/>
        <v>AC Ravenna - 00085710390</v>
      </c>
      <c r="C444" t="str">
        <f>"SERVIZIO SPEDIZIONE PATENTI"</f>
        <v>SERVIZIO SPEDIZIONE PATENTI</v>
      </c>
      <c r="D444" t="str">
        <f t="shared" si="108"/>
        <v>23-AFFIDAMENTO DIRETTO</v>
      </c>
      <c r="E444" t="str">
        <f t="shared" ref="E444:F446" si="113">"GAMMA INDIRIZZI SRL - 01048250391"</f>
        <v>GAMMA INDIRIZZI SRL - 01048250391</v>
      </c>
      <c r="F444" t="str">
        <f t="shared" si="113"/>
        <v>GAMMA INDIRIZZI SRL - 01048250391</v>
      </c>
      <c r="G444" t="str">
        <f>"62,00 EUR"</f>
        <v>62,00 EUR</v>
      </c>
      <c r="H444" t="str">
        <f>"05/10/2015 - 28/10/2015"</f>
        <v>05/10/2015 - 28/10/2015</v>
      </c>
      <c r="I444" t="str">
        <f>"62,00 EUR"</f>
        <v>62,00 EUR</v>
      </c>
    </row>
    <row r="445" spans="1:9" x14ac:dyDescent="0.25">
      <c r="A445" t="str">
        <f>"Z3216609E4"</f>
        <v>Z3216609E4</v>
      </c>
      <c r="B445" t="str">
        <f t="shared" si="111"/>
        <v>AC Ravenna - 00085710390</v>
      </c>
      <c r="C445" t="str">
        <f>"SERVIZIO SPEDIZIONE BOLSE"</f>
        <v>SERVIZIO SPEDIZIONE BOLSE</v>
      </c>
      <c r="D445" t="str">
        <f>"28-PROCEDURA AI SENSI DEI REGOLAMENTI DEGLI ORGANI COSTITUZIONALI"</f>
        <v>28-PROCEDURA AI SENSI DEI REGOLAMENTI DEGLI ORGANI COSTITUZIONALI</v>
      </c>
      <c r="E445" t="str">
        <f t="shared" si="113"/>
        <v>GAMMA INDIRIZZI SRL - 01048250391</v>
      </c>
      <c r="F445" t="str">
        <f t="shared" si="113"/>
        <v>GAMMA INDIRIZZI SRL - 01048250391</v>
      </c>
      <c r="G445" t="str">
        <f>"687,00 EUR"</f>
        <v>687,00 EUR</v>
      </c>
      <c r="H445" t="str">
        <f>"05/10/2015 - 28/10/2015"</f>
        <v>05/10/2015 - 28/10/2015</v>
      </c>
      <c r="I445" t="str">
        <f>"687,00 EUR"</f>
        <v>687,00 EUR</v>
      </c>
    </row>
    <row r="446" spans="1:9" x14ac:dyDescent="0.25">
      <c r="A446" t="str">
        <f>"Z7B16609F5"</f>
        <v>Z7B16609F5</v>
      </c>
      <c r="B446" t="str">
        <f t="shared" si="111"/>
        <v>AC Ravenna - 00085710390</v>
      </c>
      <c r="C446" t="str">
        <f>"SERVIZIO SPEDIZIONE SOCI"</f>
        <v>SERVIZIO SPEDIZIONE SOCI</v>
      </c>
      <c r="D446" t="str">
        <f t="shared" ref="D446:D465" si="114">"23-AFFIDAMENTO DIRETTO"</f>
        <v>23-AFFIDAMENTO DIRETTO</v>
      </c>
      <c r="E446" t="str">
        <f t="shared" si="113"/>
        <v>GAMMA INDIRIZZI SRL - 01048250391</v>
      </c>
      <c r="F446" t="str">
        <f t="shared" si="113"/>
        <v>GAMMA INDIRIZZI SRL - 01048250391</v>
      </c>
      <c r="G446" t="str">
        <f>"197,00 EUR"</f>
        <v>197,00 EUR</v>
      </c>
      <c r="H446" t="str">
        <f>"05/10/2015 - 27/10/2015"</f>
        <v>05/10/2015 - 27/10/2015</v>
      </c>
      <c r="I446" t="str">
        <f>"197,00 EUR"</f>
        <v>197,00 EUR</v>
      </c>
    </row>
    <row r="447" spans="1:9" x14ac:dyDescent="0.25">
      <c r="A447" t="str">
        <f>"Z801660A53"</f>
        <v>Z801660A53</v>
      </c>
      <c r="B447" t="str">
        <f t="shared" si="111"/>
        <v>AC Ravenna - 00085710390</v>
      </c>
      <c r="C447" t="str">
        <f>"MANUTENZIONE IMPIANTI"</f>
        <v>MANUTENZIONE IMPIANTI</v>
      </c>
      <c r="D447" t="str">
        <f t="shared" si="114"/>
        <v>23-AFFIDAMENTO DIRETTO</v>
      </c>
      <c r="E447" t="str">
        <f>"NILO TERMOIDRAULICA SRL - 02500700394"</f>
        <v>NILO TERMOIDRAULICA SRL - 02500700394</v>
      </c>
      <c r="F447" t="str">
        <f>"NILO TERMOIDRAULICA SRL - 02500700394"</f>
        <v>NILO TERMOIDRAULICA SRL - 02500700394</v>
      </c>
      <c r="G447" t="str">
        <f>"50,00 EUR"</f>
        <v>50,00 EUR</v>
      </c>
      <c r="H447" t="str">
        <f>"01/10/2015 - 22/10/2015"</f>
        <v>01/10/2015 - 22/10/2015</v>
      </c>
      <c r="I447" t="str">
        <f>"50,00 EUR"</f>
        <v>50,00 EUR</v>
      </c>
    </row>
    <row r="448" spans="1:9" x14ac:dyDescent="0.25">
      <c r="A448" t="str">
        <f>"ZCF16511FD"</f>
        <v>ZCF16511FD</v>
      </c>
      <c r="B448" t="str">
        <f t="shared" si="111"/>
        <v>AC Ravenna - 00085710390</v>
      </c>
      <c r="C448" t="str">
        <f>"PULIZIE LOCALI"</f>
        <v>PULIZIE LOCALI</v>
      </c>
      <c r="D448" t="str">
        <f t="shared" si="114"/>
        <v>23-AFFIDAMENTO DIRETTO</v>
      </c>
      <c r="E448" t="str">
        <f>"CENTRO IGIENE S.r.l. - 02368400392"</f>
        <v>CENTRO IGIENE S.r.l. - 02368400392</v>
      </c>
      <c r="F448" t="str">
        <f>"CENTRO IGIENE S.r.l. - 02368400392"</f>
        <v>CENTRO IGIENE S.r.l. - 02368400392</v>
      </c>
      <c r="G448" t="str">
        <f>"1.375,00 EUR"</f>
        <v>1.375,00 EUR</v>
      </c>
      <c r="H448" t="str">
        <f>"01/10/2015 - 30/10/2015"</f>
        <v>01/10/2015 - 30/10/2015</v>
      </c>
      <c r="I448" t="str">
        <f>"1.375,00 EUR"</f>
        <v>1.375,00 EUR</v>
      </c>
    </row>
    <row r="449" spans="1:9" x14ac:dyDescent="0.25">
      <c r="A449" t="str">
        <f>"Z791648FF0"</f>
        <v>Z791648FF0</v>
      </c>
      <c r="B449" t="str">
        <f t="shared" si="111"/>
        <v>AC Ravenna - 00085710390</v>
      </c>
      <c r="C449" t="str">
        <f>"SPESE SERVIZI ELAB.DATI"</f>
        <v>SPESE SERVIZI ELAB.DATI</v>
      </c>
      <c r="D449" t="str">
        <f t="shared" si="114"/>
        <v>23-AFFIDAMENTO DIRETTO</v>
      </c>
      <c r="E449" t="str">
        <f>"G.E.S.S.I SRL - 00594090391"</f>
        <v>G.E.S.S.I SRL - 00594090391</v>
      </c>
      <c r="F449" t="str">
        <f>"G.E.S.S.I SRL - 00594090391"</f>
        <v>G.E.S.S.I SRL - 00594090391</v>
      </c>
      <c r="G449" t="str">
        <f>"115,00 EUR"</f>
        <v>115,00 EUR</v>
      </c>
      <c r="H449" t="str">
        <f>"29/09/2015 - 06/10/2015"</f>
        <v>29/09/2015 - 06/10/2015</v>
      </c>
      <c r="I449" t="str">
        <f>"115,00 EUR"</f>
        <v>115,00 EUR</v>
      </c>
    </row>
    <row r="450" spans="1:9" x14ac:dyDescent="0.25">
      <c r="A450" t="str">
        <f>"Z22163DD93"</f>
        <v>Z22163DD93</v>
      </c>
      <c r="B450" t="str">
        <f t="shared" si="111"/>
        <v>AC Ravenna - 00085710390</v>
      </c>
      <c r="C450" t="str">
        <f>"ACQUISTO MOBILI"</f>
        <v>ACQUISTO MOBILI</v>
      </c>
      <c r="D450" t="str">
        <f t="shared" si="114"/>
        <v>23-AFFIDAMENTO DIRETTO</v>
      </c>
      <c r="E450" t="str">
        <f>"DALLA PENNA AL COMPUTER di Ravaioli Stefano - RVLSFN58T21H199V"</f>
        <v>DALLA PENNA AL COMPUTER di Ravaioli Stefano - RVLSFN58T21H199V</v>
      </c>
      <c r="F450" t="str">
        <f>"DALLA PENNA AL COMPUTER di Ravaioli Stefano - RVLSFN58T21H199V"</f>
        <v>DALLA PENNA AL COMPUTER di Ravaioli Stefano - RVLSFN58T21H199V</v>
      </c>
      <c r="G450" t="str">
        <f>"560,00 EUR"</f>
        <v>560,00 EUR</v>
      </c>
      <c r="H450" t="str">
        <f>"26/09/2015 - 15/10/2015"</f>
        <v>26/09/2015 - 15/10/2015</v>
      </c>
      <c r="I450" t="str">
        <f>"560,00 EUR"</f>
        <v>560,00 EUR</v>
      </c>
    </row>
    <row r="451" spans="1:9" x14ac:dyDescent="0.25">
      <c r="A451" t="str">
        <f>"Z8215E3CAB"</f>
        <v>Z8215E3CAB</v>
      </c>
      <c r="B451" t="str">
        <f t="shared" si="111"/>
        <v>AC Ravenna - 00085710390</v>
      </c>
      <c r="C451" t="str">
        <f>"ACQUISTO SOFTWARE"</f>
        <v>ACQUISTO SOFTWARE</v>
      </c>
      <c r="D451" t="str">
        <f t="shared" si="114"/>
        <v>23-AFFIDAMENTO DIRETTO</v>
      </c>
      <c r="E451" t="str">
        <f>"HARVARD GROUP S.r.l. - 02254110402"</f>
        <v>HARVARD GROUP S.r.l. - 02254110402</v>
      </c>
      <c r="F451" t="str">
        <f>"HARVARD GROUP S.r.l. - 02254110402"</f>
        <v>HARVARD GROUP S.r.l. - 02254110402</v>
      </c>
      <c r="G451" t="str">
        <f>"96,00 EUR"</f>
        <v>96,00 EUR</v>
      </c>
      <c r="H451" t="str">
        <f>"03/09/2015 - 29/09/2015"</f>
        <v>03/09/2015 - 29/09/2015</v>
      </c>
      <c r="I451" t="str">
        <f>"96,00 EUR"</f>
        <v>96,00 EUR</v>
      </c>
    </row>
    <row r="452" spans="1:9" x14ac:dyDescent="0.25">
      <c r="A452" t="str">
        <f>"ZA515CD186"</f>
        <v>ZA515CD186</v>
      </c>
      <c r="B452" t="str">
        <f t="shared" si="111"/>
        <v>AC Ravenna - 00085710390</v>
      </c>
      <c r="C452" t="str">
        <f>"MANUTENZIONE IMMOBILE"</f>
        <v>MANUTENZIONE IMMOBILE</v>
      </c>
      <c r="D452" t="str">
        <f t="shared" si="114"/>
        <v>23-AFFIDAMENTO DIRETTO</v>
      </c>
      <c r="E452" t="str">
        <f>"BACCHETTA GAETANO - BCCGTN67L23H199I"</f>
        <v>BACCHETTA GAETANO - BCCGTN67L23H199I</v>
      </c>
      <c r="F452" t="str">
        <f>"BACCHETTA GAETANO - BCCGTN67L23H199I"</f>
        <v>BACCHETTA GAETANO - BCCGTN67L23H199I</v>
      </c>
      <c r="G452" t="str">
        <f>"495,00 EUR"</f>
        <v>495,00 EUR</v>
      </c>
      <c r="H452" t="str">
        <f>"27/08/2015 - 31/08/2015"</f>
        <v>27/08/2015 - 31/08/2015</v>
      </c>
      <c r="I452" t="str">
        <f>"495,00 EUR"</f>
        <v>495,00 EUR</v>
      </c>
    </row>
    <row r="453" spans="1:9" x14ac:dyDescent="0.25">
      <c r="A453" t="str">
        <f>"Z6015CD18E"</f>
        <v>Z6015CD18E</v>
      </c>
      <c r="B453" t="str">
        <f t="shared" si="111"/>
        <v>AC Ravenna - 00085710390</v>
      </c>
      <c r="C453" t="str">
        <f>"PULIZIA LOCALI"</f>
        <v>PULIZIA LOCALI</v>
      </c>
      <c r="D453" t="str">
        <f t="shared" si="114"/>
        <v>23-AFFIDAMENTO DIRETTO</v>
      </c>
      <c r="E453" t="str">
        <f>"CENTRO IGIENE S.r.l. - 02368400392"</f>
        <v>CENTRO IGIENE S.r.l. - 02368400392</v>
      </c>
      <c r="F453" t="str">
        <f>"CENTRO IGIENE S.r.l. - 02368400392"</f>
        <v>CENTRO IGIENE S.r.l. - 02368400392</v>
      </c>
      <c r="G453" t="str">
        <f>"1.375,00 EUR"</f>
        <v>1.375,00 EUR</v>
      </c>
      <c r="H453" t="str">
        <f>"01/08/2015 - 31/08/2015"</f>
        <v>01/08/2015 - 31/08/2015</v>
      </c>
      <c r="I453" t="str">
        <f>"1.375,00 EUR"</f>
        <v>1.375,00 EUR</v>
      </c>
    </row>
    <row r="454" spans="1:9" x14ac:dyDescent="0.25">
      <c r="A454" t="str">
        <f>"ZF715C9D1C"</f>
        <v>ZF715C9D1C</v>
      </c>
      <c r="B454" t="str">
        <f t="shared" si="111"/>
        <v>AC Ravenna - 00085710390</v>
      </c>
      <c r="C454" t="str">
        <f>"SERVIZIO SPEDIZIONE BOLSE"</f>
        <v>SERVIZIO SPEDIZIONE BOLSE</v>
      </c>
      <c r="D454" t="str">
        <f t="shared" si="114"/>
        <v>23-AFFIDAMENTO DIRETTO</v>
      </c>
      <c r="E454" t="str">
        <f t="shared" ref="E454:F456" si="115">"GAMMA INDIRIZZI SRL - 01048250391"</f>
        <v>GAMMA INDIRIZZI SRL - 01048250391</v>
      </c>
      <c r="F454" t="str">
        <f t="shared" si="115"/>
        <v>GAMMA INDIRIZZI SRL - 01048250391</v>
      </c>
      <c r="G454" t="str">
        <f>"1.782,00 EUR"</f>
        <v>1.782,00 EUR</v>
      </c>
      <c r="H454" t="str">
        <f>"25/08/2015 - 23/10/2015"</f>
        <v>25/08/2015 - 23/10/2015</v>
      </c>
      <c r="I454" t="str">
        <f>"1.782,00 EUR"</f>
        <v>1.782,00 EUR</v>
      </c>
    </row>
    <row r="455" spans="1:9" x14ac:dyDescent="0.25">
      <c r="A455" t="str">
        <f>"ZCF15C9D1D"</f>
        <v>ZCF15C9D1D</v>
      </c>
      <c r="B455" t="str">
        <f t="shared" si="111"/>
        <v>AC Ravenna - 00085710390</v>
      </c>
      <c r="C455" t="str">
        <f>"SERVIZIO SPEDIZIONE SOCI"</f>
        <v>SERVIZIO SPEDIZIONE SOCI</v>
      </c>
      <c r="D455" t="str">
        <f t="shared" si="114"/>
        <v>23-AFFIDAMENTO DIRETTO</v>
      </c>
      <c r="E455" t="str">
        <f t="shared" si="115"/>
        <v>GAMMA INDIRIZZI SRL - 01048250391</v>
      </c>
      <c r="F455" t="str">
        <f t="shared" si="115"/>
        <v>GAMMA INDIRIZZI SRL - 01048250391</v>
      </c>
      <c r="G455" t="str">
        <f>"212,00 EUR"</f>
        <v>212,00 EUR</v>
      </c>
      <c r="H455" t="str">
        <f>"25/08/2015 - 24/10/2015"</f>
        <v>25/08/2015 - 24/10/2015</v>
      </c>
      <c r="I455" t="str">
        <f>"212,00 EUR"</f>
        <v>212,00 EUR</v>
      </c>
    </row>
    <row r="456" spans="1:9" x14ac:dyDescent="0.25">
      <c r="A456" t="str">
        <f>"Z2F15C9D21"</f>
        <v>Z2F15C9D21</v>
      </c>
      <c r="B456" t="str">
        <f t="shared" si="111"/>
        <v>AC Ravenna - 00085710390</v>
      </c>
      <c r="C456" t="str">
        <f>"SERVIZIO SPEDIZIONE PATENTI"</f>
        <v>SERVIZIO SPEDIZIONE PATENTI</v>
      </c>
      <c r="D456" t="str">
        <f t="shared" si="114"/>
        <v>23-AFFIDAMENTO DIRETTO</v>
      </c>
      <c r="E456" t="str">
        <f t="shared" si="115"/>
        <v>GAMMA INDIRIZZI SRL - 01048250391</v>
      </c>
      <c r="F456" t="str">
        <f t="shared" si="115"/>
        <v>GAMMA INDIRIZZI SRL - 01048250391</v>
      </c>
      <c r="G456" t="str">
        <f>"55,00 EUR"</f>
        <v>55,00 EUR</v>
      </c>
      <c r="H456" t="str">
        <f>"25/08/2015 - 28/10/2015"</f>
        <v>25/08/2015 - 28/10/2015</v>
      </c>
      <c r="I456" t="str">
        <f>"55,00 EUR"</f>
        <v>55,00 EUR</v>
      </c>
    </row>
    <row r="457" spans="1:9" x14ac:dyDescent="0.25">
      <c r="A457" t="str">
        <f>"Z9115C9D12"</f>
        <v>Z9115C9D12</v>
      </c>
      <c r="B457" t="str">
        <f t="shared" si="111"/>
        <v>AC Ravenna - 00085710390</v>
      </c>
      <c r="C457" t="str">
        <f>"MANUTENZIONE ESTINTORI"</f>
        <v>MANUTENZIONE ESTINTORI</v>
      </c>
      <c r="D457" t="str">
        <f t="shared" si="114"/>
        <v>23-AFFIDAMENTO DIRETTO</v>
      </c>
      <c r="E457" t="str">
        <f>"NUOVA OLP IMPIANTI SRL - 01478520396"</f>
        <v>NUOVA OLP IMPIANTI SRL - 01478520396</v>
      </c>
      <c r="F457" t="str">
        <f>"NUOVA OLP IMPIANTI SRL - 01478520396"</f>
        <v>NUOVA OLP IMPIANTI SRL - 01478520396</v>
      </c>
      <c r="G457" t="str">
        <f>"57,00 EUR"</f>
        <v>57,00 EUR</v>
      </c>
      <c r="H457" t="str">
        <f>"25/08/2015 - 26/09/2015"</f>
        <v>25/08/2015 - 26/09/2015</v>
      </c>
      <c r="I457" t="str">
        <f>"57,00 EUR"</f>
        <v>57,00 EUR</v>
      </c>
    </row>
    <row r="458" spans="1:9" x14ac:dyDescent="0.25">
      <c r="A458" t="str">
        <f>"Z3315AB00D"</f>
        <v>Z3315AB00D</v>
      </c>
      <c r="B458" t="str">
        <f t="shared" si="111"/>
        <v>AC Ravenna - 00085710390</v>
      </c>
      <c r="C458" t="str">
        <f>"MANUTENZIONE CONDIZIONATORE"</f>
        <v>MANUTENZIONE CONDIZIONATORE</v>
      </c>
      <c r="D458" t="str">
        <f t="shared" si="114"/>
        <v>23-AFFIDAMENTO DIRETTO</v>
      </c>
      <c r="E458" t="str">
        <f>"VALLORANI GABRIELE E FORTUNATO SNC - 00371690405"</f>
        <v>VALLORANI GABRIELE E FORTUNATO SNC - 00371690405</v>
      </c>
      <c r="F458" t="str">
        <f>"VALLORANI GABRIELE E FORTUNATO SNC - 00371690405"</f>
        <v>VALLORANI GABRIELE E FORTUNATO SNC - 00371690405</v>
      </c>
      <c r="G458" t="str">
        <f>"1.185,00 EUR"</f>
        <v>1.185,00 EUR</v>
      </c>
      <c r="H458" t="str">
        <f>"06/08/2015 - 01/09/2015"</f>
        <v>06/08/2015 - 01/09/2015</v>
      </c>
      <c r="I458" t="str">
        <f>"1.185,00 EUR"</f>
        <v>1.185,00 EUR</v>
      </c>
    </row>
    <row r="459" spans="1:9" x14ac:dyDescent="0.25">
      <c r="A459" t="str">
        <f>"Z3E15960C1"</f>
        <v>Z3E15960C1</v>
      </c>
      <c r="B459" t="str">
        <f t="shared" si="111"/>
        <v>AC Ravenna - 00085710390</v>
      </c>
      <c r="C459" t="str">
        <f>"PULIZIE LOCALI"</f>
        <v>PULIZIE LOCALI</v>
      </c>
      <c r="D459" t="str">
        <f t="shared" si="114"/>
        <v>23-AFFIDAMENTO DIRETTO</v>
      </c>
      <c r="E459" t="str">
        <f>"CENTRO IGIENE S.r.l. - 02368400392"</f>
        <v>CENTRO IGIENE S.r.l. - 02368400392</v>
      </c>
      <c r="F459" t="str">
        <f>"CENTRO IGIENE S.r.l. - 02368400392"</f>
        <v>CENTRO IGIENE S.r.l. - 02368400392</v>
      </c>
      <c r="G459" t="str">
        <f>"1.375,00 EUR"</f>
        <v>1.375,00 EUR</v>
      </c>
      <c r="H459" t="str">
        <f>"01/07/2015 - 31/07/2015"</f>
        <v>01/07/2015 - 31/07/2015</v>
      </c>
      <c r="I459" t="str">
        <f>"1.375,00 EUR"</f>
        <v>1.375,00 EUR</v>
      </c>
    </row>
    <row r="460" spans="1:9" x14ac:dyDescent="0.25">
      <c r="A460" t="str">
        <f>"Z82158DC17"</f>
        <v>Z82158DC17</v>
      </c>
      <c r="B460" t="str">
        <f t="shared" si="111"/>
        <v>AC Ravenna - 00085710390</v>
      </c>
      <c r="C460" t="str">
        <f>"RINNOVO MARCHIO CIRCUITO SAVIO"</f>
        <v>RINNOVO MARCHIO CIRCUITO SAVIO</v>
      </c>
      <c r="D460" t="str">
        <f t="shared" si="114"/>
        <v>23-AFFIDAMENTO DIRETTO</v>
      </c>
      <c r="E460" t="str">
        <f>"RINNOVO MARCHI ITALIANI SRL - 12176911001"</f>
        <v>RINNOVO MARCHI ITALIANI SRL - 12176911001</v>
      </c>
      <c r="F460" t="str">
        <f>"RINNOVO MARCHI ITALIANI SRL - 12176911001"</f>
        <v>RINNOVO MARCHI ITALIANI SRL - 12176911001</v>
      </c>
      <c r="G460" t="str">
        <f>"1.150,00 EUR"</f>
        <v>1.150,00 EUR</v>
      </c>
      <c r="H460" t="str">
        <f>"28/07/2015 - 12/10/2015"</f>
        <v>28/07/2015 - 12/10/2015</v>
      </c>
      <c r="I460" t="str">
        <f>"1.150,00 EUR"</f>
        <v>1.150,00 EUR</v>
      </c>
    </row>
    <row r="461" spans="1:9" x14ac:dyDescent="0.25">
      <c r="A461" t="str">
        <f>"ZD7158DC73"</f>
        <v>ZD7158DC73</v>
      </c>
      <c r="B461" t="str">
        <f t="shared" si="111"/>
        <v>AC Ravenna - 00085710390</v>
      </c>
      <c r="C461" t="str">
        <f>"RINNOVO MARCHIO RIEVOCAZIONE CIRCUITO SAVIO"</f>
        <v>RINNOVO MARCHIO RIEVOCAZIONE CIRCUITO SAVIO</v>
      </c>
      <c r="D461" t="str">
        <f t="shared" si="114"/>
        <v>23-AFFIDAMENTO DIRETTO</v>
      </c>
      <c r="E461" t="str">
        <f>"RINNOVO MARCHI ITALIANI SRL - 12176911001"</f>
        <v>RINNOVO MARCHI ITALIANI SRL - 12176911001</v>
      </c>
      <c r="F461" t="str">
        <f>"RINNOVO MARCHI ITALIANI SRL - 12176911001"</f>
        <v>RINNOVO MARCHI ITALIANI SRL - 12176911001</v>
      </c>
      <c r="G461" t="str">
        <f>"1.150,00 EUR"</f>
        <v>1.150,00 EUR</v>
      </c>
      <c r="H461" t="str">
        <f>"28/07/2015 - 16/10/2015"</f>
        <v>28/07/2015 - 16/10/2015</v>
      </c>
      <c r="I461" t="str">
        <f>"1.150,00 EUR"</f>
        <v>1.150,00 EUR</v>
      </c>
    </row>
    <row r="462" spans="1:9" x14ac:dyDescent="0.25">
      <c r="A462" t="str">
        <f>"Z1B158DBC8"</f>
        <v>Z1B158DBC8</v>
      </c>
      <c r="B462" t="str">
        <f t="shared" si="111"/>
        <v>AC Ravenna - 00085710390</v>
      </c>
      <c r="C462" t="str">
        <f>"MODULISTICA UFF.SOCI"</f>
        <v>MODULISTICA UFF.SOCI</v>
      </c>
      <c r="D462" t="str">
        <f t="shared" si="114"/>
        <v>23-AFFIDAMENTO DIRETTO</v>
      </c>
      <c r="E462" t="str">
        <f>"TIPOLITOGRAFIA MAZZANTI S.r.l. - 02091850392"</f>
        <v>TIPOLITOGRAFIA MAZZANTI S.r.l. - 02091850392</v>
      </c>
      <c r="F462" t="str">
        <f>"TIPOLITOGRAFIA MAZZANTI S.r.l. - 02091850392"</f>
        <v>TIPOLITOGRAFIA MAZZANTI S.r.l. - 02091850392</v>
      </c>
      <c r="G462" t="str">
        <f>"92,00 EUR"</f>
        <v>92,00 EUR</v>
      </c>
      <c r="H462" t="str">
        <f>"28/07/2015 - 30/07/2015"</f>
        <v>28/07/2015 - 30/07/2015</v>
      </c>
      <c r="I462" t="str">
        <f>"92,00 EUR"</f>
        <v>92,00 EUR</v>
      </c>
    </row>
    <row r="463" spans="1:9" x14ac:dyDescent="0.25">
      <c r="A463" t="str">
        <f>"Z6F158D8EE"</f>
        <v>Z6F158D8EE</v>
      </c>
      <c r="B463" t="str">
        <f t="shared" si="111"/>
        <v>AC Ravenna - 00085710390</v>
      </c>
      <c r="C463" t="str">
        <f>"SERVIZIO SPEDIZIONE PATENTI"</f>
        <v>SERVIZIO SPEDIZIONE PATENTI</v>
      </c>
      <c r="D463" t="str">
        <f t="shared" si="114"/>
        <v>23-AFFIDAMENTO DIRETTO</v>
      </c>
      <c r="E463" t="str">
        <f t="shared" ref="E463:F465" si="116">"GAMMA INDIRIZZI SRL - 01048250391"</f>
        <v>GAMMA INDIRIZZI SRL - 01048250391</v>
      </c>
      <c r="F463" t="str">
        <f t="shared" si="116"/>
        <v>GAMMA INDIRIZZI SRL - 01048250391</v>
      </c>
      <c r="G463" t="str">
        <f>"82,00 EUR"</f>
        <v>82,00 EUR</v>
      </c>
      <c r="H463" t="str">
        <f>"28/07/2015 - 28/07/2015"</f>
        <v>28/07/2015 - 28/07/2015</v>
      </c>
      <c r="I463" t="str">
        <f>"82,00 EUR"</f>
        <v>82,00 EUR</v>
      </c>
    </row>
    <row r="464" spans="1:9" x14ac:dyDescent="0.25">
      <c r="A464" t="str">
        <f>"ZFA158D828"</f>
        <v>ZFA158D828</v>
      </c>
      <c r="B464" t="str">
        <f t="shared" si="111"/>
        <v>AC Ravenna - 00085710390</v>
      </c>
      <c r="C464" t="str">
        <f>"SERVIZIO SPEDIZIONE SOCI"</f>
        <v>SERVIZIO SPEDIZIONE SOCI</v>
      </c>
      <c r="D464" t="str">
        <f t="shared" si="114"/>
        <v>23-AFFIDAMENTO DIRETTO</v>
      </c>
      <c r="E464" t="str">
        <f t="shared" si="116"/>
        <v>GAMMA INDIRIZZI SRL - 01048250391</v>
      </c>
      <c r="F464" t="str">
        <f t="shared" si="116"/>
        <v>GAMMA INDIRIZZI SRL - 01048250391</v>
      </c>
      <c r="G464" t="str">
        <f>"170,00 EUR"</f>
        <v>170,00 EUR</v>
      </c>
      <c r="H464" t="str">
        <f>"28/07/2015 - 30/07/2015"</f>
        <v>28/07/2015 - 30/07/2015</v>
      </c>
      <c r="I464" t="str">
        <f>"170,00 EUR"</f>
        <v>170,00 EUR</v>
      </c>
    </row>
    <row r="465" spans="1:9" x14ac:dyDescent="0.25">
      <c r="A465" t="str">
        <f>"ZCA158D7F7"</f>
        <v>ZCA158D7F7</v>
      </c>
      <c r="B465" t="str">
        <f t="shared" si="111"/>
        <v>AC Ravenna - 00085710390</v>
      </c>
      <c r="C465" t="str">
        <f>"SERVIZIO SPEDIZIONE BOLSE"</f>
        <v>SERVIZIO SPEDIZIONE BOLSE</v>
      </c>
      <c r="D465" t="str">
        <f t="shared" si="114"/>
        <v>23-AFFIDAMENTO DIRETTO</v>
      </c>
      <c r="E465" t="str">
        <f t="shared" si="116"/>
        <v>GAMMA INDIRIZZI SRL - 01048250391</v>
      </c>
      <c r="F465" t="str">
        <f t="shared" si="116"/>
        <v>GAMMA INDIRIZZI SRL - 01048250391</v>
      </c>
      <c r="G465" t="str">
        <f>"721,00 EUR"</f>
        <v>721,00 EUR</v>
      </c>
      <c r="H465" t="str">
        <f>"28/07/2015 - 31/07/2015"</f>
        <v>28/07/2015 - 31/07/2015</v>
      </c>
      <c r="I465" t="str">
        <f>"721,00 EUR"</f>
        <v>721,00 EUR</v>
      </c>
    </row>
    <row r="466" spans="1:9" x14ac:dyDescent="0.25">
      <c r="A466" t="str">
        <f>"ZEE158D9D3"</f>
        <v>ZEE158D9D3</v>
      </c>
      <c r="B466" t="str">
        <f t="shared" si="111"/>
        <v>AC Ravenna - 00085710390</v>
      </c>
      <c r="C466" t="str">
        <f>"MANUTENZIONE IMPIANTI"</f>
        <v>MANUTENZIONE IMPIANTI</v>
      </c>
      <c r="D466" t="str">
        <f>"24-AFFIDAMENTO DIRETTO A SOCIETA' IN HOUSE"</f>
        <v>24-AFFIDAMENTO DIRETTO A SOCIETA' IN HOUSE</v>
      </c>
      <c r="E466" t="str">
        <f>"NILO TERMOIDRAULICA SRL - 02500700394"</f>
        <v>NILO TERMOIDRAULICA SRL - 02500700394</v>
      </c>
      <c r="F466" t="str">
        <f>"NILO TERMOIDRAULICA SRL - 02500700394"</f>
        <v>NILO TERMOIDRAULICA SRL - 02500700394</v>
      </c>
      <c r="G466" t="str">
        <f>"209,00 EUR"</f>
        <v>209,00 EUR</v>
      </c>
      <c r="H466" t="str">
        <f>"28/07/2015 - 07/08/2015"</f>
        <v>28/07/2015 - 07/08/2015</v>
      </c>
      <c r="I466" t="str">
        <f>"209,00 EUR"</f>
        <v>209,00 EUR</v>
      </c>
    </row>
    <row r="467" spans="1:9" x14ac:dyDescent="0.25">
      <c r="A467" t="str">
        <f>"Z4D1562E2F"</f>
        <v>Z4D1562E2F</v>
      </c>
      <c r="B467" t="str">
        <f t="shared" si="111"/>
        <v>AC Ravenna - 00085710390</v>
      </c>
      <c r="C467" t="str">
        <f>"MODULISTICA UFF.SOCI"</f>
        <v>MODULISTICA UFF.SOCI</v>
      </c>
      <c r="D467" t="str">
        <f t="shared" ref="D467:D498" si="117">"23-AFFIDAMENTO DIRETTO"</f>
        <v>23-AFFIDAMENTO DIRETTO</v>
      </c>
      <c r="E467" t="str">
        <f>"TIPOLITOGRAFIA MAZZANTI S.r.l. - 02091850392"</f>
        <v>TIPOLITOGRAFIA MAZZANTI S.r.l. - 02091850392</v>
      </c>
      <c r="F467" t="str">
        <f>"TIPOLITOGRAFIA MAZZANTI S.r.l. - 02091850392"</f>
        <v>TIPOLITOGRAFIA MAZZANTI S.r.l. - 02091850392</v>
      </c>
      <c r="G467" t="str">
        <f>"630,00 EUR"</f>
        <v>630,00 EUR</v>
      </c>
      <c r="H467" t="str">
        <f>"14/07/2015 - 07/08/2015"</f>
        <v>14/07/2015 - 07/08/2015</v>
      </c>
      <c r="I467" t="str">
        <f>"630,00 EUR"</f>
        <v>630,00 EUR</v>
      </c>
    </row>
    <row r="468" spans="1:9" x14ac:dyDescent="0.25">
      <c r="A468" t="str">
        <f>"Z651556AAD"</f>
        <v>Z651556AAD</v>
      </c>
      <c r="B468" t="str">
        <f t="shared" si="111"/>
        <v>AC Ravenna - 00085710390</v>
      </c>
      <c r="C468" t="str">
        <f>"MANUTENZIONE CONDIZIONATORE"</f>
        <v>MANUTENZIONE CONDIZIONATORE</v>
      </c>
      <c r="D468" t="str">
        <f t="shared" si="117"/>
        <v>23-AFFIDAMENTO DIRETTO</v>
      </c>
      <c r="E468" t="str">
        <f>"NILO TERMOIDRAULICA SRL - 02500700394"</f>
        <v>NILO TERMOIDRAULICA SRL - 02500700394</v>
      </c>
      <c r="F468" t="str">
        <f>"NILO TERMOIDRAULICA SRL - 02500700394"</f>
        <v>NILO TERMOIDRAULICA SRL - 02500700394</v>
      </c>
      <c r="G468" t="str">
        <f>"100,00 EUR"</f>
        <v>100,00 EUR</v>
      </c>
      <c r="H468" t="str">
        <f>"09/07/2015 - 05/08/2015"</f>
        <v>09/07/2015 - 05/08/2015</v>
      </c>
      <c r="I468" t="str">
        <f>"100,00 EUR"</f>
        <v>100,00 EUR</v>
      </c>
    </row>
    <row r="469" spans="1:9" x14ac:dyDescent="0.25">
      <c r="A469" t="str">
        <f>"Z431556A56"</f>
        <v>Z431556A56</v>
      </c>
      <c r="B469" t="str">
        <f t="shared" si="111"/>
        <v>AC Ravenna - 00085710390</v>
      </c>
      <c r="C469" t="str">
        <f>"SERVIZIO SPEDIZIONE BOLSE"</f>
        <v>SERVIZIO SPEDIZIONE BOLSE</v>
      </c>
      <c r="D469" t="str">
        <f t="shared" si="117"/>
        <v>23-AFFIDAMENTO DIRETTO</v>
      </c>
      <c r="E469" t="str">
        <f t="shared" ref="E469:F471" si="118">"GAMMA INDIRIZZI SRL - 01048250391"</f>
        <v>GAMMA INDIRIZZI SRL - 01048250391</v>
      </c>
      <c r="F469" t="str">
        <f t="shared" si="118"/>
        <v>GAMMA INDIRIZZI SRL - 01048250391</v>
      </c>
      <c r="G469" t="str">
        <f>"1.632,00 EUR"</f>
        <v>1.632,00 EUR</v>
      </c>
      <c r="H469" t="str">
        <f>"09/07/2015 - 04/08/2015"</f>
        <v>09/07/2015 - 04/08/2015</v>
      </c>
      <c r="I469" t="str">
        <f>"1.632,00 EUR"</f>
        <v>1.632,00 EUR</v>
      </c>
    </row>
    <row r="470" spans="1:9" x14ac:dyDescent="0.25">
      <c r="A470" t="str">
        <f>"Z6F1556A6E"</f>
        <v>Z6F1556A6E</v>
      </c>
      <c r="B470" t="str">
        <f t="shared" si="111"/>
        <v>AC Ravenna - 00085710390</v>
      </c>
      <c r="C470" t="str">
        <f>"SERVIZIO SPEDIZIONE PATENTI"</f>
        <v>SERVIZIO SPEDIZIONE PATENTI</v>
      </c>
      <c r="D470" t="str">
        <f t="shared" si="117"/>
        <v>23-AFFIDAMENTO DIRETTO</v>
      </c>
      <c r="E470" t="str">
        <f t="shared" si="118"/>
        <v>GAMMA INDIRIZZI SRL - 01048250391</v>
      </c>
      <c r="F470" t="str">
        <f t="shared" si="118"/>
        <v>GAMMA INDIRIZZI SRL - 01048250391</v>
      </c>
      <c r="G470" t="str">
        <f>"273,00 EUR"</f>
        <v>273,00 EUR</v>
      </c>
      <c r="H470" t="str">
        <f>"09/07/2015 - 01/08/2015"</f>
        <v>09/07/2015 - 01/08/2015</v>
      </c>
      <c r="I470" t="str">
        <f>"273,00 EUR"</f>
        <v>273,00 EUR</v>
      </c>
    </row>
    <row r="471" spans="1:9" x14ac:dyDescent="0.25">
      <c r="A471" t="str">
        <f>"ZB41556A66"</f>
        <v>ZB41556A66</v>
      </c>
      <c r="B471" t="str">
        <f t="shared" si="111"/>
        <v>AC Ravenna - 00085710390</v>
      </c>
      <c r="C471" t="str">
        <f>"SERVIZIO SPEDIZIONE SOCI"</f>
        <v>SERVIZIO SPEDIZIONE SOCI</v>
      </c>
      <c r="D471" t="str">
        <f t="shared" si="117"/>
        <v>23-AFFIDAMENTO DIRETTO</v>
      </c>
      <c r="E471" t="str">
        <f t="shared" si="118"/>
        <v>GAMMA INDIRIZZI SRL - 01048250391</v>
      </c>
      <c r="F471" t="str">
        <f t="shared" si="118"/>
        <v>GAMMA INDIRIZZI SRL - 01048250391</v>
      </c>
      <c r="G471" t="str">
        <f>"192,00 EUR"</f>
        <v>192,00 EUR</v>
      </c>
      <c r="H471" t="str">
        <f>"09/07/2015 - 04/08/2015"</f>
        <v>09/07/2015 - 04/08/2015</v>
      </c>
      <c r="I471" t="str">
        <f>"192,00 EUR"</f>
        <v>192,00 EUR</v>
      </c>
    </row>
    <row r="472" spans="1:9" x14ac:dyDescent="0.25">
      <c r="A472" t="str">
        <f>"Z39152D0D8"</f>
        <v>Z39152D0D8</v>
      </c>
      <c r="B472" t="str">
        <f t="shared" si="111"/>
        <v>AC Ravenna - 00085710390</v>
      </c>
      <c r="C472" t="str">
        <f>"FORMAZIONE PERSONALE P.A."</f>
        <v>FORMAZIONE PERSONALE P.A.</v>
      </c>
      <c r="D472" t="str">
        <f t="shared" si="117"/>
        <v>23-AFFIDAMENTO DIRETTO</v>
      </c>
      <c r="E472" t="str">
        <f>"HARVARD GROUP S.r.l. - 02254110402"</f>
        <v>HARVARD GROUP S.r.l. - 02254110402</v>
      </c>
      <c r="F472" t="str">
        <f>"HARVARD GROUP S.r.l. - 02254110402"</f>
        <v>HARVARD GROUP S.r.l. - 02254110402</v>
      </c>
      <c r="G472" t="str">
        <f>"338,00 EUR"</f>
        <v>338,00 EUR</v>
      </c>
      <c r="H472" t="str">
        <f>"29/06/2015 - 16/07/2015"</f>
        <v>29/06/2015 - 16/07/2015</v>
      </c>
      <c r="I472" t="str">
        <f>"338,00 EUR"</f>
        <v>338,00 EUR</v>
      </c>
    </row>
    <row r="473" spans="1:9" x14ac:dyDescent="0.25">
      <c r="A473" t="str">
        <f>"Z3B151FE95"</f>
        <v>Z3B151FE95</v>
      </c>
      <c r="B473" t="str">
        <f t="shared" si="111"/>
        <v>AC Ravenna - 00085710390</v>
      </c>
      <c r="C473" t="str">
        <f>"ACQUISTO CASSAFORTE MURO"</f>
        <v>ACQUISTO CASSAFORTE MURO</v>
      </c>
      <c r="D473" t="str">
        <f t="shared" si="117"/>
        <v>23-AFFIDAMENTO DIRETTO</v>
      </c>
      <c r="E473" t="str">
        <f>"OBI ITALIA SRL - 00508260973"</f>
        <v>OBI ITALIA SRL - 00508260973</v>
      </c>
      <c r="F473" t="str">
        <f>"OBI ITALIA SRL - 00508260973"</f>
        <v>OBI ITALIA SRL - 00508260973</v>
      </c>
      <c r="G473" t="str">
        <f>"163,00 EUR"</f>
        <v>163,00 EUR</v>
      </c>
      <c r="H473" t="str">
        <f>"24/06/2015 - 26/06/2015"</f>
        <v>24/06/2015 - 26/06/2015</v>
      </c>
      <c r="I473" t="str">
        <f>"163,00 EUR"</f>
        <v>163,00 EUR</v>
      </c>
    </row>
    <row r="474" spans="1:9" x14ac:dyDescent="0.25">
      <c r="A474" t="str">
        <f>"Z00151EDB3"</f>
        <v>Z00151EDB3</v>
      </c>
      <c r="B474" t="str">
        <f t="shared" si="111"/>
        <v>AC Ravenna - 00085710390</v>
      </c>
      <c r="C474" t="str">
        <f>"PULIZIA LOCALI"</f>
        <v>PULIZIA LOCALI</v>
      </c>
      <c r="D474" t="str">
        <f t="shared" si="117"/>
        <v>23-AFFIDAMENTO DIRETTO</v>
      </c>
      <c r="E474" t="str">
        <f>"CENTRO IGIENE S.r.l. - 02368400392"</f>
        <v>CENTRO IGIENE S.r.l. - 02368400392</v>
      </c>
      <c r="F474" t="str">
        <f>"CENTRO IGIENE S.r.l. - 02368400392"</f>
        <v>CENTRO IGIENE S.r.l. - 02368400392</v>
      </c>
      <c r="G474" t="str">
        <f>"1.375,00 EUR"</f>
        <v>1.375,00 EUR</v>
      </c>
      <c r="H474" t="str">
        <f>"01/06/2015 - 24/06/2015"</f>
        <v>01/06/2015 - 24/06/2015</v>
      </c>
      <c r="I474" t="str">
        <f>"1.375,00 EUR"</f>
        <v>1.375,00 EUR</v>
      </c>
    </row>
    <row r="475" spans="1:9" x14ac:dyDescent="0.25">
      <c r="A475" t="str">
        <f>"ZCC151E3F9"</f>
        <v>ZCC151E3F9</v>
      </c>
      <c r="B475" t="str">
        <f t="shared" si="111"/>
        <v>AC Ravenna - 00085710390</v>
      </c>
      <c r="C475" t="str">
        <f>"INTERVENTO IMPIANTO TELEFONICO"</f>
        <v>INTERVENTO IMPIANTO TELEFONICO</v>
      </c>
      <c r="D475" t="str">
        <f t="shared" si="117"/>
        <v>23-AFFIDAMENTO DIRETTO</v>
      </c>
      <c r="E475" t="str">
        <f>"ECIS ELETTRONICA SAS - 01400920391"</f>
        <v>ECIS ELETTRONICA SAS - 01400920391</v>
      </c>
      <c r="F475" t="str">
        <f>"ECIS ELETTRONICA SAS - 01400920391"</f>
        <v>ECIS ELETTRONICA SAS - 01400920391</v>
      </c>
      <c r="G475" t="str">
        <f>"82,00 EUR"</f>
        <v>82,00 EUR</v>
      </c>
      <c r="H475" t="str">
        <f>"24/06/2015 - 17/07/2015"</f>
        <v>24/06/2015 - 17/07/2015</v>
      </c>
      <c r="I475" t="str">
        <f>"80,00 EUR"</f>
        <v>80,00 EUR</v>
      </c>
    </row>
    <row r="476" spans="1:9" x14ac:dyDescent="0.25">
      <c r="A476" t="str">
        <f>"Z8F1508A18"</f>
        <v>Z8F1508A18</v>
      </c>
      <c r="B476" t="str">
        <f t="shared" si="111"/>
        <v>AC Ravenna - 00085710390</v>
      </c>
      <c r="C476" t="str">
        <f>"AGGIORNAMENTO SITO WEB"</f>
        <v>AGGIORNAMENTO SITO WEB</v>
      </c>
      <c r="D476" t="str">
        <f t="shared" si="117"/>
        <v>23-AFFIDAMENTO DIRETTO</v>
      </c>
      <c r="E476" t="str">
        <f>"SIMATICA SRL - 02070730391"</f>
        <v>SIMATICA SRL - 02070730391</v>
      </c>
      <c r="F476" t="str">
        <f>"SIMATICA SRL - 02070730391"</f>
        <v>SIMATICA SRL - 02070730391</v>
      </c>
      <c r="G476" t="str">
        <f>"180,00 EUR"</f>
        <v>180,00 EUR</v>
      </c>
      <c r="H476" t="str">
        <f>"17/06/2015 - 05/08/2015"</f>
        <v>17/06/2015 - 05/08/2015</v>
      </c>
      <c r="I476" t="str">
        <f>"180,00 EUR"</f>
        <v>180,00 EUR</v>
      </c>
    </row>
    <row r="477" spans="1:9" x14ac:dyDescent="0.25">
      <c r="A477" t="str">
        <f>"Z881508A2B"</f>
        <v>Z881508A2B</v>
      </c>
      <c r="B477" t="str">
        <f t="shared" si="111"/>
        <v>AC Ravenna - 00085710390</v>
      </c>
      <c r="C477" t="str">
        <f>"CANONE MANUT.SITO WEB"</f>
        <v>CANONE MANUT.SITO WEB</v>
      </c>
      <c r="D477" t="str">
        <f t="shared" si="117"/>
        <v>23-AFFIDAMENTO DIRETTO</v>
      </c>
      <c r="E477" t="str">
        <f>"SIMATICA SRL - 02070730391"</f>
        <v>SIMATICA SRL - 02070730391</v>
      </c>
      <c r="F477" t="str">
        <f>"SIMATICA SRL - 02070730391"</f>
        <v>SIMATICA SRL - 02070730391</v>
      </c>
      <c r="G477" t="str">
        <f>"380,00 EUR"</f>
        <v>380,00 EUR</v>
      </c>
      <c r="H477" t="str">
        <f>"01/01/2015 - 31/12/2015"</f>
        <v>01/01/2015 - 31/12/2015</v>
      </c>
      <c r="I477" t="str">
        <f>"380,00 EUR"</f>
        <v>380,00 EUR</v>
      </c>
    </row>
    <row r="478" spans="1:9" x14ac:dyDescent="0.25">
      <c r="A478" t="str">
        <f>"Z8F14EC423"</f>
        <v>Z8F14EC423</v>
      </c>
      <c r="B478" t="str">
        <f t="shared" si="111"/>
        <v>AC Ravenna - 00085710390</v>
      </c>
      <c r="C478" t="str">
        <f>"INTERVENTO IMPIANTO ELETTRICO"</f>
        <v>INTERVENTO IMPIANTO ELETTRICO</v>
      </c>
      <c r="D478" t="str">
        <f t="shared" si="117"/>
        <v>23-AFFIDAMENTO DIRETTO</v>
      </c>
      <c r="E478" t="str">
        <f>"MORGAGNI BENIAMINO - MRGBMN61C31H199N"</f>
        <v>MORGAGNI BENIAMINO - MRGBMN61C31H199N</v>
      </c>
      <c r="F478" t="str">
        <f>"MORGAGNI BENIAMINO - MRGBMN61C31H199N"</f>
        <v>MORGAGNI BENIAMINO - MRGBMN61C31H199N</v>
      </c>
      <c r="G478" t="str">
        <f>"392,00 EUR"</f>
        <v>392,00 EUR</v>
      </c>
      <c r="H478" t="str">
        <f>"10/06/2015 - 23/06/2015"</f>
        <v>10/06/2015 - 23/06/2015</v>
      </c>
      <c r="I478" t="str">
        <f>"336,00 EUR"</f>
        <v>336,00 EUR</v>
      </c>
    </row>
    <row r="479" spans="1:9" x14ac:dyDescent="0.25">
      <c r="A479" t="str">
        <f>"Z0514D41E5"</f>
        <v>Z0514D41E5</v>
      </c>
      <c r="B479" t="str">
        <f t="shared" si="111"/>
        <v>AC Ravenna - 00085710390</v>
      </c>
      <c r="C479" t="str">
        <f>"ACQUISTO FUSORE STAMPANTE"</f>
        <v>ACQUISTO FUSORE STAMPANTE</v>
      </c>
      <c r="D479" t="str">
        <f t="shared" si="117"/>
        <v>23-AFFIDAMENTO DIRETTO</v>
      </c>
      <c r="E479" t="str">
        <f>"HARVARD SERVICE S.r.l. - 02054730409"</f>
        <v>HARVARD SERVICE S.r.l. - 02054730409</v>
      </c>
      <c r="F479" t="str">
        <f>"HARVARD SERVICE S.r.l. - 02054730409"</f>
        <v>HARVARD SERVICE S.r.l. - 02054730409</v>
      </c>
      <c r="G479" t="str">
        <f>"180,00 EUR"</f>
        <v>180,00 EUR</v>
      </c>
      <c r="H479" t="str">
        <f>"03/06/2015 - 16/07/2015"</f>
        <v>03/06/2015 - 16/07/2015</v>
      </c>
      <c r="I479" t="str">
        <f>"180,00 EUR"</f>
        <v>180,00 EUR</v>
      </c>
    </row>
    <row r="480" spans="1:9" x14ac:dyDescent="0.25">
      <c r="A480" t="str">
        <f>"Z0814CA4D9"</f>
        <v>Z0814CA4D9</v>
      </c>
      <c r="B480" t="str">
        <f t="shared" si="111"/>
        <v>AC Ravenna - 00085710390</v>
      </c>
      <c r="C480" t="str">
        <f>"PULIZIE LOCALI"</f>
        <v>PULIZIE LOCALI</v>
      </c>
      <c r="D480" t="str">
        <f t="shared" si="117"/>
        <v>23-AFFIDAMENTO DIRETTO</v>
      </c>
      <c r="E480" t="str">
        <f>"CENTRO IGIENE S.r.l. - 02368400392"</f>
        <v>CENTRO IGIENE S.r.l. - 02368400392</v>
      </c>
      <c r="F480" t="str">
        <f>"CENTRO IGIENE S.r.l. - 02368400392"</f>
        <v>CENTRO IGIENE S.r.l. - 02368400392</v>
      </c>
      <c r="G480" t="str">
        <f>"1.375,00 EUR"</f>
        <v>1.375,00 EUR</v>
      </c>
      <c r="H480" t="str">
        <f>"29/05/2015 - 04/06/2015"</f>
        <v>29/05/2015 - 04/06/2015</v>
      </c>
      <c r="I480" t="str">
        <f>"1.375,00 EUR"</f>
        <v>1.375,00 EUR</v>
      </c>
    </row>
    <row r="481" spans="1:9" x14ac:dyDescent="0.25">
      <c r="A481" t="str">
        <f>"Z6814CA53B"</f>
        <v>Z6814CA53B</v>
      </c>
      <c r="B481" t="str">
        <f t="shared" si="111"/>
        <v>AC Ravenna - 00085710390</v>
      </c>
      <c r="C481" t="str">
        <f>"MODULISTICA UFF.SOCI"</f>
        <v>MODULISTICA UFF.SOCI</v>
      </c>
      <c r="D481" t="str">
        <f t="shared" si="117"/>
        <v>23-AFFIDAMENTO DIRETTO</v>
      </c>
      <c r="E481" t="str">
        <f>"TIPOLITOGRAFIA MAZZANTI S.r.l. - 02091850392"</f>
        <v>TIPOLITOGRAFIA MAZZANTI S.r.l. - 02091850392</v>
      </c>
      <c r="F481" t="str">
        <f>"TIPOLITOGRAFIA MAZZANTI S.r.l. - 02091850392"</f>
        <v>TIPOLITOGRAFIA MAZZANTI S.r.l. - 02091850392</v>
      </c>
      <c r="G481" t="str">
        <f>"50,00 EUR"</f>
        <v>50,00 EUR</v>
      </c>
      <c r="H481" t="str">
        <f>"29/05/2015 - 22/06/2015"</f>
        <v>29/05/2015 - 22/06/2015</v>
      </c>
      <c r="I481" t="str">
        <f>"50,00 EUR"</f>
        <v>50,00 EUR</v>
      </c>
    </row>
    <row r="482" spans="1:9" x14ac:dyDescent="0.25">
      <c r="A482" t="str">
        <f>"Z5714AD8BB"</f>
        <v>Z5714AD8BB</v>
      </c>
      <c r="B482" t="str">
        <f t="shared" si="111"/>
        <v>AC Ravenna - 00085710390</v>
      </c>
      <c r="C482" t="str">
        <f>"CORSO FORMAZIONE PAGHE"</f>
        <v>CORSO FORMAZIONE PAGHE</v>
      </c>
      <c r="D482" t="str">
        <f t="shared" si="117"/>
        <v>23-AFFIDAMENTO DIRETTO</v>
      </c>
      <c r="E482" t="str">
        <f>"HARVARD GROUP S.r.l. - 02254110402"</f>
        <v>HARVARD GROUP S.r.l. - 02254110402</v>
      </c>
      <c r="F482" t="str">
        <f>"HARVARD GROUP S.r.l. - 02254110402"</f>
        <v>HARVARD GROUP S.r.l. - 02254110402</v>
      </c>
      <c r="G482" t="str">
        <f>"346,00 EUR"</f>
        <v>346,00 EUR</v>
      </c>
      <c r="H482" t="str">
        <f>"22/05/2015 - 22/06/2015"</f>
        <v>22/05/2015 - 22/06/2015</v>
      </c>
      <c r="I482" t="str">
        <f>"346,00 EUR"</f>
        <v>346,00 EUR</v>
      </c>
    </row>
    <row r="483" spans="1:9" x14ac:dyDescent="0.25">
      <c r="A483" t="str">
        <f>"Z7B14AAE78"</f>
        <v>Z7B14AAE78</v>
      </c>
      <c r="B483" t="str">
        <f t="shared" si="111"/>
        <v>AC Ravenna - 00085710390</v>
      </c>
      <c r="C483" t="str">
        <f>"MANUTENZIONE CALDAIA"</f>
        <v>MANUTENZIONE CALDAIA</v>
      </c>
      <c r="D483" t="str">
        <f t="shared" si="117"/>
        <v>23-AFFIDAMENTO DIRETTO</v>
      </c>
      <c r="E483" t="str">
        <f>"NILO SERVIZI SRL - 02006680397"</f>
        <v>NILO SERVIZI SRL - 02006680397</v>
      </c>
      <c r="F483" t="str">
        <f>"NILO SERVIZI SRL - 02006680397"</f>
        <v>NILO SERVIZI SRL - 02006680397</v>
      </c>
      <c r="G483" t="str">
        <f>"460,00 EUR"</f>
        <v>460,00 EUR</v>
      </c>
      <c r="H483" t="str">
        <f>"21/05/2015 - 22/06/2015"</f>
        <v>21/05/2015 - 22/06/2015</v>
      </c>
      <c r="I483" t="str">
        <f>"460,00 EUR"</f>
        <v>460,00 EUR</v>
      </c>
    </row>
    <row r="484" spans="1:9" x14ac:dyDescent="0.25">
      <c r="A484" t="str">
        <f>"Z7114AAEB7"</f>
        <v>Z7114AAEB7</v>
      </c>
      <c r="B484" t="str">
        <f t="shared" si="111"/>
        <v>AC Ravenna - 00085710390</v>
      </c>
      <c r="C484" t="str">
        <f>"SERVIZIO SPEDIZIONE BOLSE"</f>
        <v>SERVIZIO SPEDIZIONE BOLSE</v>
      </c>
      <c r="D484" t="str">
        <f t="shared" si="117"/>
        <v>23-AFFIDAMENTO DIRETTO</v>
      </c>
      <c r="E484" t="str">
        <f>"GAMMA INDIRIZZI SRL - 01048250391"</f>
        <v>GAMMA INDIRIZZI SRL - 01048250391</v>
      </c>
      <c r="F484" t="str">
        <f>"GAMMA INDIRIZZI SRL - 01048250391"</f>
        <v>GAMMA INDIRIZZI SRL - 01048250391</v>
      </c>
      <c r="G484" t="str">
        <f>"976,00 EUR"</f>
        <v>976,00 EUR</v>
      </c>
      <c r="H484" t="str">
        <f>"21/05/2015 - 18/06/2015"</f>
        <v>21/05/2015 - 18/06/2015</v>
      </c>
      <c r="I484" t="str">
        <f>"976,00 EUR"</f>
        <v>976,00 EUR</v>
      </c>
    </row>
    <row r="485" spans="1:9" x14ac:dyDescent="0.25">
      <c r="A485" t="str">
        <f>"ZB114A4568"</f>
        <v>ZB114A4568</v>
      </c>
      <c r="B485" t="str">
        <f t="shared" si="111"/>
        <v>AC Ravenna - 00085710390</v>
      </c>
      <c r="C485" t="str">
        <f>"MODULISTICA UFF.A.A."</f>
        <v>MODULISTICA UFF.A.A.</v>
      </c>
      <c r="D485" t="str">
        <f t="shared" si="117"/>
        <v>23-AFFIDAMENTO DIRETTO</v>
      </c>
      <c r="E485" t="str">
        <f>"TIPOLITOGRAFIA MAZZANTI S.r.l. - 02091850392"</f>
        <v>TIPOLITOGRAFIA MAZZANTI S.r.l. - 02091850392</v>
      </c>
      <c r="F485" t="str">
        <f>"TIPOLITOGRAFIA MAZZANTI S.r.l. - 02091850392"</f>
        <v>TIPOLITOGRAFIA MAZZANTI S.r.l. - 02091850392</v>
      </c>
      <c r="G485" t="str">
        <f>"135,00 EUR"</f>
        <v>135,00 EUR</v>
      </c>
      <c r="H485" t="str">
        <f>"20/05/2015 - 22/06/2015"</f>
        <v>20/05/2015 - 22/06/2015</v>
      </c>
      <c r="I485" t="str">
        <f>"135,00 EUR"</f>
        <v>135,00 EUR</v>
      </c>
    </row>
    <row r="486" spans="1:9" x14ac:dyDescent="0.25">
      <c r="A486" t="str">
        <f>"Z1B147B92A"</f>
        <v>Z1B147B92A</v>
      </c>
      <c r="B486" t="str">
        <f t="shared" si="111"/>
        <v>AC Ravenna - 00085710390</v>
      </c>
      <c r="C486" t="str">
        <f>"MODULISTICA UFF.A.A."</f>
        <v>MODULISTICA UFF.A.A.</v>
      </c>
      <c r="D486" t="str">
        <f t="shared" si="117"/>
        <v>23-AFFIDAMENTO DIRETTO</v>
      </c>
      <c r="E486" t="str">
        <f>"TIPOLITOGRAFIA MAZZANTI S.r.l. - 02091850392"</f>
        <v>TIPOLITOGRAFIA MAZZANTI S.r.l. - 02091850392</v>
      </c>
      <c r="F486" t="str">
        <f>"TIPOLITOGRAFIA MAZZANTI S.r.l. - 02091850392"</f>
        <v>TIPOLITOGRAFIA MAZZANTI S.r.l. - 02091850392</v>
      </c>
      <c r="G486" t="str">
        <f>"140,00 EUR"</f>
        <v>140,00 EUR</v>
      </c>
      <c r="H486" t="str">
        <f>"09/05/2015 - 22/06/2015"</f>
        <v>09/05/2015 - 22/06/2015</v>
      </c>
      <c r="I486" t="str">
        <f>"140,00 EUR"</f>
        <v>140,00 EUR</v>
      </c>
    </row>
    <row r="487" spans="1:9" x14ac:dyDescent="0.25">
      <c r="A487" t="str">
        <f>"Z2B145FE62"</f>
        <v>Z2B145FE62</v>
      </c>
      <c r="B487" t="str">
        <f t="shared" si="111"/>
        <v>AC Ravenna - 00085710390</v>
      </c>
      <c r="C487" t="str">
        <f>"CONSULENZA LEGALE"</f>
        <v>CONSULENZA LEGALE</v>
      </c>
      <c r="D487" t="str">
        <f t="shared" si="117"/>
        <v>23-AFFIDAMENTO DIRETTO</v>
      </c>
      <c r="E487" t="str">
        <f>"AVV.BARCHIELLI FRANCESCO - BRCFNC73R12H901H"</f>
        <v>AVV.BARCHIELLI FRANCESCO - BRCFNC73R12H901H</v>
      </c>
      <c r="F487" t="str">
        <f>"AVV.BARCHIELLI FRANCESCO - BRCFNC73R12H901H"</f>
        <v>AVV.BARCHIELLI FRANCESCO - BRCFNC73R12H901H</v>
      </c>
      <c r="G487" t="str">
        <f>"1.872,00 EUR"</f>
        <v>1.872,00 EUR</v>
      </c>
      <c r="H487" t="str">
        <f>"02/05/2015 - 19/05/2015"</f>
        <v>02/05/2015 - 19/05/2015</v>
      </c>
      <c r="I487" t="str">
        <f>"1.872,00 EUR"</f>
        <v>1.872,00 EUR</v>
      </c>
    </row>
    <row r="488" spans="1:9" x14ac:dyDescent="0.25">
      <c r="A488" t="str">
        <f>"ZBD145FD89"</f>
        <v>ZBD145FD89</v>
      </c>
      <c r="B488" t="str">
        <f t="shared" si="111"/>
        <v>AC Ravenna - 00085710390</v>
      </c>
      <c r="C488" t="str">
        <f>"CONTRIBUTO SPORTIVO MILLE MIGLIA"</f>
        <v>CONTRIBUTO SPORTIVO MILLE MIGLIA</v>
      </c>
      <c r="D488" t="str">
        <f t="shared" si="117"/>
        <v>23-AFFIDAMENTO DIRETTO</v>
      </c>
      <c r="E488" t="str">
        <f>"ABC SRL - 02027790399"</f>
        <v>ABC SRL - 02027790399</v>
      </c>
      <c r="F488" t="str">
        <f>"ABC SRL - 02027790399"</f>
        <v>ABC SRL - 02027790399</v>
      </c>
      <c r="G488" t="str">
        <f>"500,00 EUR"</f>
        <v>500,00 EUR</v>
      </c>
      <c r="H488" t="str">
        <f>"02/05/2015 - 28/05/2015"</f>
        <v>02/05/2015 - 28/05/2015</v>
      </c>
      <c r="I488" t="str">
        <f>"500,00 EUR"</f>
        <v>500,00 EUR</v>
      </c>
    </row>
    <row r="489" spans="1:9" x14ac:dyDescent="0.25">
      <c r="A489" t="str">
        <f>"Z2B145B2E3"</f>
        <v>Z2B145B2E3</v>
      </c>
      <c r="B489" t="str">
        <f t="shared" si="111"/>
        <v>AC Ravenna - 00085710390</v>
      </c>
      <c r="C489" t="str">
        <f>"CORSO FORMAZIONE SU FATT.P.A."</f>
        <v>CORSO FORMAZIONE SU FATT.P.A.</v>
      </c>
      <c r="D489" t="str">
        <f t="shared" si="117"/>
        <v>23-AFFIDAMENTO DIRETTO</v>
      </c>
      <c r="E489" t="str">
        <f>"HARVARD SERVICE S.r.l. - 02054730409"</f>
        <v>HARVARD SERVICE S.r.l. - 02054730409</v>
      </c>
      <c r="F489" t="str">
        <f>"HARVARD SERVICE S.r.l. - 02054730409"</f>
        <v>HARVARD SERVICE S.r.l. - 02054730409</v>
      </c>
      <c r="G489" t="str">
        <f>"531,00 EUR"</f>
        <v>531,00 EUR</v>
      </c>
      <c r="H489" t="str">
        <f>"30/04/2015 - 29/05/2015"</f>
        <v>30/04/2015 - 29/05/2015</v>
      </c>
      <c r="I489" t="str">
        <f>"531,00 EUR"</f>
        <v>531,00 EUR</v>
      </c>
    </row>
    <row r="490" spans="1:9" x14ac:dyDescent="0.25">
      <c r="A490" t="str">
        <f>"Z1D145B309"</f>
        <v>Z1D145B309</v>
      </c>
      <c r="B490" t="str">
        <f t="shared" si="111"/>
        <v>AC Ravenna - 00085710390</v>
      </c>
      <c r="C490" t="str">
        <f>"SERVIZIO SPEDIZIONE BOLSE"</f>
        <v>SERVIZIO SPEDIZIONE BOLSE</v>
      </c>
      <c r="D490" t="str">
        <f t="shared" si="117"/>
        <v>23-AFFIDAMENTO DIRETTO</v>
      </c>
      <c r="E490" t="str">
        <f>"GAMMA INDIRIZZI SRL - 01048250391"</f>
        <v>GAMMA INDIRIZZI SRL - 01048250391</v>
      </c>
      <c r="F490" t="str">
        <f>"GAMMA INDIRIZZI SRL - 01048250391"</f>
        <v>GAMMA INDIRIZZI SRL - 01048250391</v>
      </c>
      <c r="G490" t="str">
        <f>"2.028,00 EUR"</f>
        <v>2.028,00 EUR</v>
      </c>
      <c r="H490" t="str">
        <f>"30/04/2015 - 18/06/2015"</f>
        <v>30/04/2015 - 18/06/2015</v>
      </c>
      <c r="I490" t="str">
        <f>"2.028,00 EUR"</f>
        <v>2.028,00 EUR</v>
      </c>
    </row>
    <row r="491" spans="1:9" x14ac:dyDescent="0.25">
      <c r="A491" t="str">
        <f>"ZCD144F62E"</f>
        <v>ZCD144F62E</v>
      </c>
      <c r="B491" t="str">
        <f t="shared" si="111"/>
        <v>AC Ravenna - 00085710390</v>
      </c>
      <c r="C491" t="str">
        <f>"PULIZIE LOCALI"</f>
        <v>PULIZIE LOCALI</v>
      </c>
      <c r="D491" t="str">
        <f t="shared" si="117"/>
        <v>23-AFFIDAMENTO DIRETTO</v>
      </c>
      <c r="E491" t="str">
        <f>"CENTRO IGIENE S.r.l. - 02368400392"</f>
        <v>CENTRO IGIENE S.r.l. - 02368400392</v>
      </c>
      <c r="F491" t="str">
        <f>"CENTRO IGIENE S.r.l. - 02368400392"</f>
        <v>CENTRO IGIENE S.r.l. - 02368400392</v>
      </c>
      <c r="G491" t="str">
        <f>"1.375,00 EUR"</f>
        <v>1.375,00 EUR</v>
      </c>
      <c r="H491" t="str">
        <f>"27/04/2015 - 04/06/2015"</f>
        <v>27/04/2015 - 04/06/2015</v>
      </c>
      <c r="I491" t="str">
        <f>"1.375,00 EUR"</f>
        <v>1.375,00 EUR</v>
      </c>
    </row>
    <row r="492" spans="1:9" x14ac:dyDescent="0.25">
      <c r="A492" t="str">
        <f>"ZD4142DBD4"</f>
        <v>ZD4142DBD4</v>
      </c>
      <c r="B492" t="str">
        <f t="shared" si="111"/>
        <v>AC Ravenna - 00085710390</v>
      </c>
      <c r="C492" t="str">
        <f>"MODULISTICA UFF.A.A."</f>
        <v>MODULISTICA UFF.A.A.</v>
      </c>
      <c r="D492" t="str">
        <f t="shared" si="117"/>
        <v>23-AFFIDAMENTO DIRETTO</v>
      </c>
      <c r="E492" t="str">
        <f>"TIPOLITOGRAFIA MAZZANTI S.r.l. - 02091850392"</f>
        <v>TIPOLITOGRAFIA MAZZANTI S.r.l. - 02091850392</v>
      </c>
      <c r="F492" t="str">
        <f>"TIPOLITOGRAFIA MAZZANTI S.r.l. - 02091850392"</f>
        <v>TIPOLITOGRAFIA MAZZANTI S.r.l. - 02091850392</v>
      </c>
      <c r="G492" t="str">
        <f>"70,00 EUR"</f>
        <v>70,00 EUR</v>
      </c>
      <c r="H492" t="str">
        <f>"18/04/2015 - 29/05/2015"</f>
        <v>18/04/2015 - 29/05/2015</v>
      </c>
      <c r="I492" t="str">
        <f>"70,00 EUR"</f>
        <v>70,00 EUR</v>
      </c>
    </row>
    <row r="493" spans="1:9" x14ac:dyDescent="0.25">
      <c r="A493" t="str">
        <f>"ZB1142763B"</f>
        <v>ZB1142763B</v>
      </c>
      <c r="B493" t="str">
        <f t="shared" ref="B493:B528" si="119">"AC Ravenna - 00085710390"</f>
        <v>AC Ravenna - 00085710390</v>
      </c>
      <c r="C493" t="str">
        <f>"SOFTWARE MOD.770/15"</f>
        <v>SOFTWARE MOD.770/15</v>
      </c>
      <c r="D493" t="str">
        <f t="shared" si="117"/>
        <v>23-AFFIDAMENTO DIRETTO</v>
      </c>
      <c r="E493" t="str">
        <f>"HARVARD GROUP S.r.l. - 02254110402"</f>
        <v>HARVARD GROUP S.r.l. - 02254110402</v>
      </c>
      <c r="F493" t="str">
        <f>"HARVARD GROUP S.r.l. - 02254110402"</f>
        <v>HARVARD GROUP S.r.l. - 02254110402</v>
      </c>
      <c r="G493" t="str">
        <f>"280,00 EUR"</f>
        <v>280,00 EUR</v>
      </c>
      <c r="H493" t="str">
        <f>"16/04/2015 - 30/04/2015"</f>
        <v>16/04/2015 - 30/04/2015</v>
      </c>
      <c r="I493" t="str">
        <f>"280,00 EUR"</f>
        <v>280,00 EUR</v>
      </c>
    </row>
    <row r="494" spans="1:9" x14ac:dyDescent="0.25">
      <c r="A494" t="str">
        <f>"Z1813F5230"</f>
        <v>Z1813F5230</v>
      </c>
      <c r="B494" t="str">
        <f t="shared" si="119"/>
        <v>AC Ravenna - 00085710390</v>
      </c>
      <c r="C494" t="str">
        <f>"PUBBLICAZIONE CONV.ASSEMBLEA - G.U.-"</f>
        <v>PUBBLICAZIONE CONV.ASSEMBLEA - G.U.-</v>
      </c>
      <c r="D494" t="str">
        <f t="shared" si="117"/>
        <v>23-AFFIDAMENTO DIRETTO</v>
      </c>
      <c r="E494" t="str">
        <f>"SPE SPA - 00326930377"</f>
        <v>SPE SPA - 00326930377</v>
      </c>
      <c r="F494" t="str">
        <f>"SPE SPA - 00326930377"</f>
        <v>SPE SPA - 00326930377</v>
      </c>
      <c r="G494" t="str">
        <f>"487,00 EUR"</f>
        <v>487,00 EUR</v>
      </c>
      <c r="H494" t="str">
        <f>"02/04/2015 - 22/06/2015"</f>
        <v>02/04/2015 - 22/06/2015</v>
      </c>
      <c r="I494" t="str">
        <f>"487,00 EUR"</f>
        <v>487,00 EUR</v>
      </c>
    </row>
    <row r="495" spans="1:9" x14ac:dyDescent="0.25">
      <c r="A495" t="str">
        <f>"ZA713D85AC"</f>
        <v>ZA713D85AC</v>
      </c>
      <c r="B495" t="str">
        <f t="shared" si="119"/>
        <v>AC Ravenna - 00085710390</v>
      </c>
      <c r="C495" t="str">
        <f>"SERVIZIO SPEDIZIONE BOLSE"</f>
        <v>SERVIZIO SPEDIZIONE BOLSE</v>
      </c>
      <c r="D495" t="str">
        <f t="shared" si="117"/>
        <v>23-AFFIDAMENTO DIRETTO</v>
      </c>
      <c r="E495" t="str">
        <f>"GAMMA INDIRIZZI SRL - 01048250391"</f>
        <v>GAMMA INDIRIZZI SRL - 01048250391</v>
      </c>
      <c r="F495" t="str">
        <f>"GAMMA INDIRIZZI SRL - 01048250391"</f>
        <v>GAMMA INDIRIZZI SRL - 01048250391</v>
      </c>
      <c r="G495" t="str">
        <f>"1.685,00 EUR"</f>
        <v>1.685,00 EUR</v>
      </c>
      <c r="H495" t="str">
        <f>"26/03/2015 - 27/04/2015"</f>
        <v>26/03/2015 - 27/04/2015</v>
      </c>
      <c r="I495" t="str">
        <f>"1.685,00 EUR"</f>
        <v>1.685,00 EUR</v>
      </c>
    </row>
    <row r="496" spans="1:9" x14ac:dyDescent="0.25">
      <c r="A496" t="str">
        <f>"Z0513CA0B3"</f>
        <v>Z0513CA0B3</v>
      </c>
      <c r="B496" t="str">
        <f t="shared" si="119"/>
        <v>AC Ravenna - 00085710390</v>
      </c>
      <c r="C496" t="str">
        <f>"PULIZIE LOCALI"</f>
        <v>PULIZIE LOCALI</v>
      </c>
      <c r="D496" t="str">
        <f t="shared" si="117"/>
        <v>23-AFFIDAMENTO DIRETTO</v>
      </c>
      <c r="E496" t="str">
        <f>"CENTRO IGIENE S.r.l. - 02368400392"</f>
        <v>CENTRO IGIENE S.r.l. - 02368400392</v>
      </c>
      <c r="F496" t="str">
        <f>"CENTRO IGIENE S.r.l. - 02368400392"</f>
        <v>CENTRO IGIENE S.r.l. - 02368400392</v>
      </c>
      <c r="G496" t="str">
        <f>"1.375,00 EUR"</f>
        <v>1.375,00 EUR</v>
      </c>
      <c r="H496" t="str">
        <f>"24/03/2015 - 03/04/2015"</f>
        <v>24/03/2015 - 03/04/2015</v>
      </c>
      <c r="I496" t="str">
        <f>"1.375,00 EUR"</f>
        <v>1.375,00 EUR</v>
      </c>
    </row>
    <row r="497" spans="1:9" x14ac:dyDescent="0.25">
      <c r="A497" t="str">
        <f>"Z7A13CA0DC"</f>
        <v>Z7A13CA0DC</v>
      </c>
      <c r="B497" t="str">
        <f t="shared" si="119"/>
        <v>AC Ravenna - 00085710390</v>
      </c>
      <c r="C497" t="str">
        <f>"SOFTWARE C.U."</f>
        <v>SOFTWARE C.U.</v>
      </c>
      <c r="D497" t="str">
        <f t="shared" si="117"/>
        <v>23-AFFIDAMENTO DIRETTO</v>
      </c>
      <c r="E497" t="str">
        <f>"HARVARD GROUP S.r.l. - 02254110402"</f>
        <v>HARVARD GROUP S.r.l. - 02254110402</v>
      </c>
      <c r="F497" t="str">
        <f>"HARVARD GROUP S.r.l. - 02254110402"</f>
        <v>HARVARD GROUP S.r.l. - 02254110402</v>
      </c>
      <c r="G497" t="str">
        <f>"300,00 EUR"</f>
        <v>300,00 EUR</v>
      </c>
      <c r="H497" t="str">
        <f>"24/03/2015 - 30/04/2015"</f>
        <v>24/03/2015 - 30/04/2015</v>
      </c>
      <c r="I497" t="str">
        <f>"300,00 EUR"</f>
        <v>300,00 EUR</v>
      </c>
    </row>
    <row r="498" spans="1:9" x14ac:dyDescent="0.25">
      <c r="A498" t="str">
        <f>"Z68137B211"</f>
        <v>Z68137B211</v>
      </c>
      <c r="B498" t="str">
        <f t="shared" si="119"/>
        <v>AC Ravenna - 00085710390</v>
      </c>
      <c r="C498" t="str">
        <f>"SERVIZI POSTALI"</f>
        <v>SERVIZI POSTALI</v>
      </c>
      <c r="D498" t="str">
        <f t="shared" si="117"/>
        <v>23-AFFIDAMENTO DIRETTO</v>
      </c>
      <c r="E498" t="str">
        <f>"POSTE ITALIANE SPA - 97103880585"</f>
        <v>POSTE ITALIANE SPA - 97103880585</v>
      </c>
      <c r="F498" t="str">
        <f>"POSTE ITALIANE SPA - 97103880585"</f>
        <v>POSTE ITALIANE SPA - 97103880585</v>
      </c>
      <c r="G498" t="str">
        <f>"5.000,00 EUR"</f>
        <v>5.000,00 EUR</v>
      </c>
      <c r="H498" t="str">
        <f>"04/03/2015 - 31/12/2015"</f>
        <v>04/03/2015 - 31/12/2015</v>
      </c>
      <c r="I498" t="str">
        <f>"4.395,00 EUR"</f>
        <v>4.395,00 EUR</v>
      </c>
    </row>
    <row r="499" spans="1:9" x14ac:dyDescent="0.25">
      <c r="A499" t="str">
        <f>"ZF31375A08"</f>
        <v>ZF31375A08</v>
      </c>
      <c r="B499" t="str">
        <f t="shared" si="119"/>
        <v>AC Ravenna - 00085710390</v>
      </c>
      <c r="C499" t="str">
        <f>"SERVIZIO FACCHINAGGIO ARCHIVIO"</f>
        <v>SERVIZIO FACCHINAGGIO ARCHIVIO</v>
      </c>
      <c r="D499" t="str">
        <f t="shared" ref="D499:D526" si="120">"23-AFFIDAMENTO DIRETTO"</f>
        <v>23-AFFIDAMENTO DIRETTO</v>
      </c>
      <c r="E499" t="str">
        <f>"MONTI AMATO SRL - 02325680391"</f>
        <v>MONTI AMATO SRL - 02325680391</v>
      </c>
      <c r="F499" t="str">
        <f>"MONTI AMATO SRL - 02325680391"</f>
        <v>MONTI AMATO SRL - 02325680391</v>
      </c>
      <c r="G499" t="str">
        <f>"250,00 EUR"</f>
        <v>250,00 EUR</v>
      </c>
      <c r="H499" t="str">
        <f>"03/03/2015 - 30/04/2015"</f>
        <v>03/03/2015 - 30/04/2015</v>
      </c>
      <c r="I499" t="str">
        <f>"250,00 EUR"</f>
        <v>250,00 EUR</v>
      </c>
    </row>
    <row r="500" spans="1:9" x14ac:dyDescent="0.25">
      <c r="A500" t="str">
        <f>"Z87136F945"</f>
        <v>Z87136F945</v>
      </c>
      <c r="B500" t="str">
        <f t="shared" si="119"/>
        <v>AC Ravenna - 00085710390</v>
      </c>
      <c r="C500" t="str">
        <f>"CANONE SOFTWARE BOLSE"</f>
        <v>CANONE SOFTWARE BOLSE</v>
      </c>
      <c r="D500" t="str">
        <f t="shared" si="120"/>
        <v>23-AFFIDAMENTO DIRETTO</v>
      </c>
      <c r="E500" t="str">
        <f>"HARVARD GROUP S.r.l. - 02254110402"</f>
        <v>HARVARD GROUP S.r.l. - 02254110402</v>
      </c>
      <c r="F500" t="str">
        <f>"HARVARD GROUP S.r.l. - 02254110402"</f>
        <v>HARVARD GROUP S.r.l. - 02254110402</v>
      </c>
      <c r="G500" t="str">
        <f>"198,00 EUR"</f>
        <v>198,00 EUR</v>
      </c>
      <c r="H500" t="str">
        <f>"02/03/2015 - 30/03/2015"</f>
        <v>02/03/2015 - 30/03/2015</v>
      </c>
      <c r="I500" t="str">
        <f>"198,00 EUR"</f>
        <v>198,00 EUR</v>
      </c>
    </row>
    <row r="501" spans="1:9" x14ac:dyDescent="0.25">
      <c r="A501" t="str">
        <f>"Z1F136A269"</f>
        <v>Z1F136A269</v>
      </c>
      <c r="B501" t="str">
        <f t="shared" si="119"/>
        <v>AC Ravenna - 00085710390</v>
      </c>
      <c r="C501" t="str">
        <f>"ACQUISTO GASOLIO"</f>
        <v>ACQUISTO GASOLIO</v>
      </c>
      <c r="D501" t="str">
        <f t="shared" si="120"/>
        <v>23-AFFIDAMENTO DIRETTO</v>
      </c>
      <c r="E501" t="str">
        <f>"BRONCHI COMBUSTIBILI SRL - 01252710403"</f>
        <v>BRONCHI COMBUSTIBILI SRL - 01252710403</v>
      </c>
      <c r="F501" t="str">
        <f>"BRONCHI COMBUSTIBILI SRL - 01252710403"</f>
        <v>BRONCHI COMBUSTIBILI SRL - 01252710403</v>
      </c>
      <c r="G501" t="str">
        <f>"1.800,00 EUR"</f>
        <v>1.800,00 EUR</v>
      </c>
      <c r="H501" t="str">
        <f>"02/03/2015 - 30/04/2015"</f>
        <v>02/03/2015 - 30/04/2015</v>
      </c>
      <c r="I501" t="str">
        <f>"1.802,00 EUR"</f>
        <v>1.802,00 EUR</v>
      </c>
    </row>
    <row r="502" spans="1:9" x14ac:dyDescent="0.25">
      <c r="A502" t="str">
        <f>"Z61135E93E"</f>
        <v>Z61135E93E</v>
      </c>
      <c r="B502" t="str">
        <f t="shared" si="119"/>
        <v>AC Ravenna - 00085710390</v>
      </c>
      <c r="C502" t="str">
        <f>"MANUTENZIONE CASSAFORTE"</f>
        <v>MANUTENZIONE CASSAFORTE</v>
      </c>
      <c r="D502" t="str">
        <f t="shared" si="120"/>
        <v>23-AFFIDAMENTO DIRETTO</v>
      </c>
      <c r="E502" t="str">
        <f>"FALEGNAMERIA BRIGHI SRL - 00430470393"</f>
        <v>FALEGNAMERIA BRIGHI SRL - 00430470393</v>
      </c>
      <c r="F502" t="str">
        <f>"FALEGNAMERIA BRIGHI SRL - 00430470393"</f>
        <v>FALEGNAMERIA BRIGHI SRL - 00430470393</v>
      </c>
      <c r="G502" t="str">
        <f>"295,00 EUR"</f>
        <v>295,00 EUR</v>
      </c>
      <c r="H502" t="str">
        <f>"25/02/2015 - 30/03/2015"</f>
        <v>25/02/2015 - 30/03/2015</v>
      </c>
      <c r="I502" t="str">
        <f>"295,00 EUR"</f>
        <v>295,00 EUR</v>
      </c>
    </row>
    <row r="503" spans="1:9" x14ac:dyDescent="0.25">
      <c r="A503" t="str">
        <f>"Z6F13534B0"</f>
        <v>Z6F13534B0</v>
      </c>
      <c r="B503" t="str">
        <f t="shared" si="119"/>
        <v>AC Ravenna - 00085710390</v>
      </c>
      <c r="C503" t="str">
        <f>"SERVIZIO SPEDIZIONE BOLSE"</f>
        <v>SERVIZIO SPEDIZIONE BOLSE</v>
      </c>
      <c r="D503" t="str">
        <f t="shared" si="120"/>
        <v>23-AFFIDAMENTO DIRETTO</v>
      </c>
      <c r="E503" t="str">
        <f>"GAMMA INDIRIZZI SRL - 01048250391"</f>
        <v>GAMMA INDIRIZZI SRL - 01048250391</v>
      </c>
      <c r="F503" t="str">
        <f>"GAMMA INDIRIZZI SRL - 01048250391"</f>
        <v>GAMMA INDIRIZZI SRL - 01048250391</v>
      </c>
      <c r="G503" t="str">
        <f>"2.390,00 EUR"</f>
        <v>2.390,00 EUR</v>
      </c>
      <c r="H503" t="str">
        <f>"23/02/2015 - 24/03/2015"</f>
        <v>23/02/2015 - 24/03/2015</v>
      </c>
      <c r="I503" t="str">
        <f>"2.390,00 EUR"</f>
        <v>2.390,00 EUR</v>
      </c>
    </row>
    <row r="504" spans="1:9" x14ac:dyDescent="0.25">
      <c r="A504" t="str">
        <f>"Z3C134AB67"</f>
        <v>Z3C134AB67</v>
      </c>
      <c r="B504" t="str">
        <f t="shared" si="119"/>
        <v>AC Ravenna - 00085710390</v>
      </c>
      <c r="C504" t="str">
        <f>"ANTIVIRUS"</f>
        <v>ANTIVIRUS</v>
      </c>
      <c r="D504" t="str">
        <f t="shared" si="120"/>
        <v>23-AFFIDAMENTO DIRETTO</v>
      </c>
      <c r="E504" t="str">
        <f>"DALLA PENNA AL COMPUTER di Ravaioli Stefano - RVLSFN58T21H199V"</f>
        <v>DALLA PENNA AL COMPUTER di Ravaioli Stefano - RVLSFN58T21H199V</v>
      </c>
      <c r="F504" t="str">
        <f>"DALLA PENNA AL COMPUTER di Ravaioli Stefano - RVLSFN58T21H199V"</f>
        <v>DALLA PENNA AL COMPUTER di Ravaioli Stefano - RVLSFN58T21H199V</v>
      </c>
      <c r="G504" t="str">
        <f>"80,00 EUR"</f>
        <v>80,00 EUR</v>
      </c>
      <c r="H504" t="str">
        <f>"20/02/2015 - 02/03/2015"</f>
        <v>20/02/2015 - 02/03/2015</v>
      </c>
      <c r="I504" t="str">
        <f>"80,00 EUR"</f>
        <v>80,00 EUR</v>
      </c>
    </row>
    <row r="505" spans="1:9" x14ac:dyDescent="0.25">
      <c r="A505" t="str">
        <f>"Z1B13496BE"</f>
        <v>Z1B13496BE</v>
      </c>
      <c r="B505" t="str">
        <f t="shared" si="119"/>
        <v>AC Ravenna - 00085710390</v>
      </c>
      <c r="C505" t="str">
        <f>"MODULISTICA UFF.A.A."</f>
        <v>MODULISTICA UFF.A.A.</v>
      </c>
      <c r="D505" t="str">
        <f t="shared" si="120"/>
        <v>23-AFFIDAMENTO DIRETTO</v>
      </c>
      <c r="E505" t="str">
        <f>"TIPOLITOGRAFIA MAZZANTI S.r.l. - 02091850392"</f>
        <v>TIPOLITOGRAFIA MAZZANTI S.r.l. - 02091850392</v>
      </c>
      <c r="F505" t="str">
        <f>"TIPOLITOGRAFIA MAZZANTI S.r.l. - 02091850392"</f>
        <v>TIPOLITOGRAFIA MAZZANTI S.r.l. - 02091850392</v>
      </c>
      <c r="G505" t="str">
        <f>"245,00 EUR"</f>
        <v>245,00 EUR</v>
      </c>
      <c r="H505" t="str">
        <f>"19/02/2015 - 30/03/2015"</f>
        <v>19/02/2015 - 30/03/2015</v>
      </c>
      <c r="I505" t="str">
        <f>"245,00 EUR"</f>
        <v>245,00 EUR</v>
      </c>
    </row>
    <row r="506" spans="1:9" x14ac:dyDescent="0.25">
      <c r="A506" t="str">
        <f>"Z661329E68"</f>
        <v>Z661329E68</v>
      </c>
      <c r="B506" t="str">
        <f t="shared" si="119"/>
        <v>AC Ravenna - 00085710390</v>
      </c>
      <c r="C506" t="str">
        <f>"ACQUISTO FIREWALL"</f>
        <v>ACQUISTO FIREWALL</v>
      </c>
      <c r="D506" t="str">
        <f t="shared" si="120"/>
        <v>23-AFFIDAMENTO DIRETTO</v>
      </c>
      <c r="E506" t="str">
        <f>"HARVARD SERVICE S.r.l. - 02054730409"</f>
        <v>HARVARD SERVICE S.r.l. - 02054730409</v>
      </c>
      <c r="F506" t="str">
        <f>"HARVARD SERVICE S.r.l. - 02054730409"</f>
        <v>HARVARD SERVICE S.r.l. - 02054730409</v>
      </c>
      <c r="G506" t="str">
        <f>"370,00 EUR"</f>
        <v>370,00 EUR</v>
      </c>
      <c r="H506" t="str">
        <f>"11/02/2015 - 30/03/2015"</f>
        <v>11/02/2015 - 30/03/2015</v>
      </c>
      <c r="I506" t="str">
        <f>"370,00 EUR"</f>
        <v>370,00 EUR</v>
      </c>
    </row>
    <row r="507" spans="1:9" x14ac:dyDescent="0.25">
      <c r="A507" t="str">
        <f>"Z0D1320BDC"</f>
        <v>Z0D1320BDC</v>
      </c>
      <c r="B507" t="str">
        <f t="shared" si="119"/>
        <v>AC Ravenna - 00085710390</v>
      </c>
      <c r="C507" t="str">
        <f>"SOFTWARE FATTURE P.A."</f>
        <v>SOFTWARE FATTURE P.A.</v>
      </c>
      <c r="D507" t="str">
        <f t="shared" si="120"/>
        <v>23-AFFIDAMENTO DIRETTO</v>
      </c>
      <c r="E507" t="str">
        <f>"HARVARD GROUP S.r.l. - 02254110402"</f>
        <v>HARVARD GROUP S.r.l. - 02254110402</v>
      </c>
      <c r="F507" t="str">
        <f>"HARVARD GROUP S.r.l. - 02254110402"</f>
        <v>HARVARD GROUP S.r.l. - 02254110402</v>
      </c>
      <c r="G507" t="str">
        <f>"1.465,00 EUR"</f>
        <v>1.465,00 EUR</v>
      </c>
      <c r="H507" t="str">
        <f>"10/02/2015 - 02/03/2015"</f>
        <v>10/02/2015 - 02/03/2015</v>
      </c>
      <c r="I507" t="str">
        <f>"1.465,00 EUR"</f>
        <v>1.465,00 EUR</v>
      </c>
    </row>
    <row r="508" spans="1:9" x14ac:dyDescent="0.25">
      <c r="A508" t="str">
        <f>"ZBF130FB39"</f>
        <v>ZBF130FB39</v>
      </c>
      <c r="B508" t="str">
        <f t="shared" si="119"/>
        <v>AC Ravenna - 00085710390</v>
      </c>
      <c r="C508" t="str">
        <f>"CANONE SOFTWARE PAGHE"</f>
        <v>CANONE SOFTWARE PAGHE</v>
      </c>
      <c r="D508" t="str">
        <f t="shared" si="120"/>
        <v>23-AFFIDAMENTO DIRETTO</v>
      </c>
      <c r="E508" t="str">
        <f>"HARVARD GROUP S.r.l. - 02254110402"</f>
        <v>HARVARD GROUP S.r.l. - 02254110402</v>
      </c>
      <c r="F508" t="str">
        <f>"HARVARD GROUP S.r.l. - 02254110402"</f>
        <v>HARVARD GROUP S.r.l. - 02254110402</v>
      </c>
      <c r="G508" t="str">
        <f>"2.272,00 EUR"</f>
        <v>2.272,00 EUR</v>
      </c>
      <c r="H508" t="str">
        <f>"04/02/2015 - 02/03/2015"</f>
        <v>04/02/2015 - 02/03/2015</v>
      </c>
      <c r="I508" t="str">
        <f>"2.273,00 EUR"</f>
        <v>2.273,00 EUR</v>
      </c>
    </row>
    <row r="509" spans="1:9" x14ac:dyDescent="0.25">
      <c r="A509" t="str">
        <f>"ZE712FFD47"</f>
        <v>ZE712FFD47</v>
      </c>
      <c r="B509" t="str">
        <f t="shared" si="119"/>
        <v>AC Ravenna - 00085710390</v>
      </c>
      <c r="C509" t="str">
        <f>"SERVIZIO SPEDIZIONE BOLSE"</f>
        <v>SERVIZIO SPEDIZIONE BOLSE</v>
      </c>
      <c r="D509" t="str">
        <f t="shared" si="120"/>
        <v>23-AFFIDAMENTO DIRETTO</v>
      </c>
      <c r="E509" t="str">
        <f>"GAMMA INDIRIZZI SRL - 01048250391"</f>
        <v>GAMMA INDIRIZZI SRL - 01048250391</v>
      </c>
      <c r="F509" t="str">
        <f>"GAMMA INDIRIZZI SRL - 01048250391"</f>
        <v>GAMMA INDIRIZZI SRL - 01048250391</v>
      </c>
      <c r="G509" t="str">
        <f>"1.640,00 EUR"</f>
        <v>1.640,00 EUR</v>
      </c>
      <c r="H509" t="str">
        <f>"31/01/2015 - 18/02/2015"</f>
        <v>31/01/2015 - 18/02/2015</v>
      </c>
      <c r="I509" t="str">
        <f>"1.640,00 EUR"</f>
        <v>1.640,00 EUR</v>
      </c>
    </row>
    <row r="510" spans="1:9" x14ac:dyDescent="0.25">
      <c r="A510" t="str">
        <f>"Z7012FA64C"</f>
        <v>Z7012FA64C</v>
      </c>
      <c r="B510" t="str">
        <f t="shared" si="119"/>
        <v>AC Ravenna - 00085710390</v>
      </c>
      <c r="C510" t="str">
        <f>"MODULISTICA BOLSE"</f>
        <v>MODULISTICA BOLSE</v>
      </c>
      <c r="D510" t="str">
        <f t="shared" si="120"/>
        <v>23-AFFIDAMENTO DIRETTO</v>
      </c>
      <c r="E510" t="str">
        <f>"TIPOLITOGRAFIA MAZZANTI S.r.l. - 02091850392"</f>
        <v>TIPOLITOGRAFIA MAZZANTI S.r.l. - 02091850392</v>
      </c>
      <c r="F510" t="str">
        <f>"TIPOLITOGRAFIA MAZZANTI S.r.l. - 02091850392"</f>
        <v>TIPOLITOGRAFIA MAZZANTI S.r.l. - 02091850392</v>
      </c>
      <c r="G510" t="str">
        <f>"360,00 EUR"</f>
        <v>360,00 EUR</v>
      </c>
      <c r="H510" t="str">
        <f>"29/01/2015 - 02/03/2015"</f>
        <v>29/01/2015 - 02/03/2015</v>
      </c>
      <c r="I510" t="str">
        <f>"360,00 EUR"</f>
        <v>360,00 EUR</v>
      </c>
    </row>
    <row r="511" spans="1:9" x14ac:dyDescent="0.25">
      <c r="A511" t="str">
        <f>"Z7F12F1D27"</f>
        <v>Z7F12F1D27</v>
      </c>
      <c r="B511" t="str">
        <f t="shared" si="119"/>
        <v>AC Ravenna - 00085710390</v>
      </c>
      <c r="C511" t="str">
        <f>"RIGENERAZIONE NASTRI X STAMPANTI"</f>
        <v>RIGENERAZIONE NASTRI X STAMPANTI</v>
      </c>
      <c r="D511" t="str">
        <f t="shared" si="120"/>
        <v>23-AFFIDAMENTO DIRETTO</v>
      </c>
      <c r="E511" t="str">
        <f>"ECO 2000 di Beretti Monica - BRRMNC65C60H199Y"</f>
        <v>ECO 2000 di Beretti Monica - BRRMNC65C60H199Y</v>
      </c>
      <c r="F511" t="str">
        <f>"ECO 2000 di Beretti Monica - BRRMNC65C60H199Y"</f>
        <v>ECO 2000 di Beretti Monica - BRRMNC65C60H199Y</v>
      </c>
      <c r="G511" t="str">
        <f>"1.000,00 EUR"</f>
        <v>1.000,00 EUR</v>
      </c>
      <c r="H511" t="str">
        <f>"28/01/2015 - 31/12/2015"</f>
        <v>28/01/2015 - 31/12/2015</v>
      </c>
      <c r="I511" t="str">
        <f>"0,00 EUR"</f>
        <v>0,00 EUR</v>
      </c>
    </row>
    <row r="512" spans="1:9" x14ac:dyDescent="0.25">
      <c r="A512" t="str">
        <f>"ZFA12F1DF3"</f>
        <v>ZFA12F1DF3</v>
      </c>
      <c r="B512" t="str">
        <f t="shared" si="119"/>
        <v>AC Ravenna - 00085710390</v>
      </c>
      <c r="C512" t="str">
        <f>"CANONI TELEFONICI TELECOM"</f>
        <v>CANONI TELEFONICI TELECOM</v>
      </c>
      <c r="D512" t="str">
        <f t="shared" si="120"/>
        <v>23-AFFIDAMENTO DIRETTO</v>
      </c>
      <c r="E512" t="str">
        <f>"TELECOM ITALIA S.p.a. - 00580600013"</f>
        <v>TELECOM ITALIA S.p.a. - 00580600013</v>
      </c>
      <c r="F512" t="str">
        <f>"TELECOM ITALIA S.p.a. - 00580600013"</f>
        <v>TELECOM ITALIA S.p.a. - 00580600013</v>
      </c>
      <c r="G512" t="str">
        <f>"7.000,00 EUR"</f>
        <v>7.000,00 EUR</v>
      </c>
      <c r="H512" t="str">
        <f>"28/01/2015 - 31/12/2015"</f>
        <v>28/01/2015 - 31/12/2015</v>
      </c>
      <c r="I512" t="str">
        <f>"5.903,00 EUR"</f>
        <v>5.903,00 EUR</v>
      </c>
    </row>
    <row r="513" spans="1:9" x14ac:dyDescent="0.25">
      <c r="A513" t="str">
        <f>"Z6B12F1EAO"</f>
        <v>Z6B12F1EAO</v>
      </c>
      <c r="B513" t="str">
        <f t="shared" si="119"/>
        <v>AC Ravenna - 00085710390</v>
      </c>
      <c r="C513" t="str">
        <f>"ACQUISTO QUOTIDIANI"</f>
        <v>ACQUISTO QUOTIDIANI</v>
      </c>
      <c r="D513" t="str">
        <f t="shared" si="120"/>
        <v>23-AFFIDAMENTO DIRETTO</v>
      </c>
      <c r="E513" t="str">
        <f>"J&amp;VSNC - 01428990392"</f>
        <v>J&amp;VSNC - 01428990392</v>
      </c>
      <c r="F513" t="str">
        <f>"J&amp;VSNC - 01428990392"</f>
        <v>J&amp;VSNC - 01428990392</v>
      </c>
      <c r="G513" t="str">
        <f>"1.000,00 EUR"</f>
        <v>1.000,00 EUR</v>
      </c>
      <c r="H513" t="str">
        <f>"28/01/2015 - 31/12/2015"</f>
        <v>28/01/2015 - 31/12/2015</v>
      </c>
      <c r="I513" t="str">
        <f>"441,00 EUR"</f>
        <v>441,00 EUR</v>
      </c>
    </row>
    <row r="514" spans="1:9" x14ac:dyDescent="0.25">
      <c r="A514" t="str">
        <f>"Z8D12F1EF7"</f>
        <v>Z8D12F1EF7</v>
      </c>
      <c r="B514" t="str">
        <f t="shared" si="119"/>
        <v>AC Ravenna - 00085710390</v>
      </c>
      <c r="C514" t="str">
        <f>"CONSUMI TELEFONICI"</f>
        <v>CONSUMI TELEFONICI</v>
      </c>
      <c r="D514" t="str">
        <f t="shared" si="120"/>
        <v>23-AFFIDAMENTO DIRETTO</v>
      </c>
      <c r="E514" t="str">
        <f>"TELECOM ITALIA S.p.a. - 00580600013"</f>
        <v>TELECOM ITALIA S.p.a. - 00580600013</v>
      </c>
      <c r="F514" t="str">
        <f>"TELECOM ITALIA S.p.a. - 00580600013"</f>
        <v>TELECOM ITALIA S.p.a. - 00580600013</v>
      </c>
      <c r="G514" t="str">
        <f>"3.000,00 EUR"</f>
        <v>3.000,00 EUR</v>
      </c>
      <c r="H514" t="str">
        <f>"28/01/2015 - 31/12/2015"</f>
        <v>28/01/2015 - 31/12/2015</v>
      </c>
      <c r="I514" t="str">
        <f>"0,00 EUR"</f>
        <v>0,00 EUR</v>
      </c>
    </row>
    <row r="515" spans="1:9" x14ac:dyDescent="0.25">
      <c r="A515" t="str">
        <f>"ZB212BD1F8"</f>
        <v>ZB212BD1F8</v>
      </c>
      <c r="B515" t="str">
        <f t="shared" si="119"/>
        <v>AC Ravenna - 00085710390</v>
      </c>
      <c r="C515" t="str">
        <f>"MANUTENZIONE OROLOGIO MARCATEMPO"</f>
        <v>MANUTENZIONE OROLOGIO MARCATEMPO</v>
      </c>
      <c r="D515" t="str">
        <f t="shared" si="120"/>
        <v>23-AFFIDAMENTO DIRETTO</v>
      </c>
      <c r="E515" t="str">
        <f>"ELCO SISTEMI SRL - 03246960409"</f>
        <v>ELCO SISTEMI SRL - 03246960409</v>
      </c>
      <c r="F515" t="str">
        <f>"ELCO SISTEMI SRL - 03246960409"</f>
        <v>ELCO SISTEMI SRL - 03246960409</v>
      </c>
      <c r="G515" t="str">
        <f>"116,00 EUR"</f>
        <v>116,00 EUR</v>
      </c>
      <c r="H515" t="str">
        <f>"14/01/2015 - 30/03/2015"</f>
        <v>14/01/2015 - 30/03/2015</v>
      </c>
      <c r="I515" t="str">
        <f>"116,00 EUR"</f>
        <v>116,00 EUR</v>
      </c>
    </row>
    <row r="516" spans="1:9" x14ac:dyDescent="0.25">
      <c r="A516" t="str">
        <f>"Z6812A72A0"</f>
        <v>Z6812A72A0</v>
      </c>
      <c r="B516" t="str">
        <f t="shared" si="119"/>
        <v>AC Ravenna - 00085710390</v>
      </c>
      <c r="C516" t="str">
        <f>"SERVIZIO SPEDIZIONE BOLSE"</f>
        <v>SERVIZIO SPEDIZIONE BOLSE</v>
      </c>
      <c r="D516" t="str">
        <f t="shared" si="120"/>
        <v>23-AFFIDAMENTO DIRETTO</v>
      </c>
      <c r="E516" t="str">
        <f>"GAMMA INDIRIZZI SRL - 01048250391"</f>
        <v>GAMMA INDIRIZZI SRL - 01048250391</v>
      </c>
      <c r="F516" t="str">
        <f>"GAMMA INDIRIZZI SRL - 01048250391"</f>
        <v>GAMMA INDIRIZZI SRL - 01048250391</v>
      </c>
      <c r="G516" t="str">
        <f>"2.536,00 EUR"</f>
        <v>2.536,00 EUR</v>
      </c>
      <c r="H516" t="str">
        <f>"08/01/2015 - 22/01/2015"</f>
        <v>08/01/2015 - 22/01/2015</v>
      </c>
      <c r="I516" t="str">
        <f>"2.536,00 EUR"</f>
        <v>2.536,00 EUR</v>
      </c>
    </row>
    <row r="517" spans="1:9" x14ac:dyDescent="0.25">
      <c r="A517" t="str">
        <f>"Z2C13644D9"</f>
        <v>Z2C13644D9</v>
      </c>
      <c r="B517" t="str">
        <f t="shared" si="119"/>
        <v>AC Ravenna - 00085710390</v>
      </c>
      <c r="C517" t="str">
        <f>"PULIZIE LOCALI"</f>
        <v>PULIZIE LOCALI</v>
      </c>
      <c r="D517" t="str">
        <f t="shared" si="120"/>
        <v>23-AFFIDAMENTO DIRETTO</v>
      </c>
      <c r="E517" t="str">
        <f>"CENTRO IGIENE S.r.l. - 02368400392"</f>
        <v>CENTRO IGIENE S.r.l. - 02368400392</v>
      </c>
      <c r="F517" t="str">
        <f>"CENTRO IGIENE S.r.l. - 02368400392"</f>
        <v>CENTRO IGIENE S.r.l. - 02368400392</v>
      </c>
      <c r="G517" t="str">
        <f>"1.375,00 EUR"</f>
        <v>1.375,00 EUR</v>
      </c>
      <c r="H517" t="str">
        <f>"27/02/2015 - 28/02/2015"</f>
        <v>27/02/2015 - 28/02/2015</v>
      </c>
      <c r="I517" t="str">
        <f>"1.375,00 EUR"</f>
        <v>1.375,00 EUR</v>
      </c>
    </row>
    <row r="518" spans="1:9" x14ac:dyDescent="0.25">
      <c r="A518" t="str">
        <f>"ZEC135FF05"</f>
        <v>ZEC135FF05</v>
      </c>
      <c r="B518" t="str">
        <f t="shared" si="119"/>
        <v>AC Ravenna - 00085710390</v>
      </c>
      <c r="C518" t="str">
        <f>"MODULISTICA UFF.A.A."</f>
        <v>MODULISTICA UFF.A.A.</v>
      </c>
      <c r="D518" t="str">
        <f t="shared" si="120"/>
        <v>23-AFFIDAMENTO DIRETTO</v>
      </c>
      <c r="E518" t="str">
        <f>"SAMORANI S.R.L. - 02705640403"</f>
        <v>SAMORANI S.R.L. - 02705640403</v>
      </c>
      <c r="F518" t="str">
        <f>"SAMORANI S.R.L. - 02705640403"</f>
        <v>SAMORANI S.R.L. - 02705640403</v>
      </c>
      <c r="G518" t="str">
        <f>"1.580,00 EUR"</f>
        <v>1.580,00 EUR</v>
      </c>
      <c r="H518" t="str">
        <f>"26/02/2015 - 30/03/2015"</f>
        <v>26/02/2015 - 30/03/2015</v>
      </c>
      <c r="I518" t="str">
        <f>"1.580,00 EUR"</f>
        <v>1.580,00 EUR</v>
      </c>
    </row>
    <row r="519" spans="1:9" x14ac:dyDescent="0.25">
      <c r="A519" t="str">
        <f>"ZBD135943A"</f>
        <v>ZBD135943A</v>
      </c>
      <c r="B519" t="str">
        <f t="shared" si="119"/>
        <v>AC Ravenna - 00085710390</v>
      </c>
      <c r="C519" t="str">
        <f>"RIPARAZIONE BAGNO"</f>
        <v>RIPARAZIONE BAGNO</v>
      </c>
      <c r="D519" t="str">
        <f t="shared" si="120"/>
        <v>23-AFFIDAMENTO DIRETTO</v>
      </c>
      <c r="E519" t="str">
        <f>"NILO SERVIZI SRL - 02006680397"</f>
        <v>NILO SERVIZI SRL - 02006680397</v>
      </c>
      <c r="F519" t="str">
        <f>"NILO SERVIZI SRL - 02006680397"</f>
        <v>NILO SERVIZI SRL - 02006680397</v>
      </c>
      <c r="G519" t="str">
        <f>"80,00 EUR"</f>
        <v>80,00 EUR</v>
      </c>
      <c r="H519" t="str">
        <f>"24/02/2015 - 02/03/2015"</f>
        <v>24/02/2015 - 02/03/2015</v>
      </c>
      <c r="I519" t="str">
        <f>"80,00 EUR"</f>
        <v>80,00 EUR</v>
      </c>
    </row>
    <row r="520" spans="1:9" x14ac:dyDescent="0.25">
      <c r="A520" t="str">
        <f>"ZB413017BB"</f>
        <v>ZB413017BB</v>
      </c>
      <c r="B520" t="str">
        <f t="shared" si="119"/>
        <v>AC Ravenna - 00085710390</v>
      </c>
      <c r="C520" t="str">
        <f>"MANUTENZIONE ANTINCENDIO"</f>
        <v>MANUTENZIONE ANTINCENDIO</v>
      </c>
      <c r="D520" t="str">
        <f t="shared" si="120"/>
        <v>23-AFFIDAMENTO DIRETTO</v>
      </c>
      <c r="E520" t="str">
        <f>"NUOVA OLP IMPIANTI SRL - 01478520396"</f>
        <v>NUOVA OLP IMPIANTI SRL - 01478520396</v>
      </c>
      <c r="F520" t="str">
        <f>"NUOVA OLP IMPIANTI SRL - 01478520396"</f>
        <v>NUOVA OLP IMPIANTI SRL - 01478520396</v>
      </c>
      <c r="G520" t="str">
        <f>"397,00 EUR"</f>
        <v>397,00 EUR</v>
      </c>
      <c r="H520" t="str">
        <f>"02/02/2015 - 30/03/2015"</f>
        <v>02/02/2015 - 30/03/2015</v>
      </c>
      <c r="I520" t="str">
        <f>"397,00 EUR"</f>
        <v>397,00 EUR</v>
      </c>
    </row>
    <row r="521" spans="1:9" x14ac:dyDescent="0.25">
      <c r="A521" t="str">
        <f>"ZB912F4938"</f>
        <v>ZB912F4938</v>
      </c>
      <c r="B521" t="str">
        <f t="shared" si="119"/>
        <v>AC Ravenna - 00085710390</v>
      </c>
      <c r="C521" t="str">
        <f>"PULIZIE LOCALI"</f>
        <v>PULIZIE LOCALI</v>
      </c>
      <c r="D521" t="str">
        <f t="shared" si="120"/>
        <v>23-AFFIDAMENTO DIRETTO</v>
      </c>
      <c r="E521" t="str">
        <f>"CENTRO IGIENE S.r.l. - 02368400392"</f>
        <v>CENTRO IGIENE S.r.l. - 02368400392</v>
      </c>
      <c r="F521" t="str">
        <f>"CENTRO IGIENE S.r.l. - 02368400392"</f>
        <v>CENTRO IGIENE S.r.l. - 02368400392</v>
      </c>
      <c r="G521" t="str">
        <f>"1.375,00 EUR"</f>
        <v>1.375,00 EUR</v>
      </c>
      <c r="H521" t="str">
        <f>"28/01/2015 - 31/01/2015"</f>
        <v>28/01/2015 - 31/01/2015</v>
      </c>
      <c r="I521" t="str">
        <f>"1.375,00 EUR"</f>
        <v>1.375,00 EUR</v>
      </c>
    </row>
    <row r="522" spans="1:9" x14ac:dyDescent="0.25">
      <c r="A522" t="str">
        <f>"Z8112D6380"</f>
        <v>Z8112D6380</v>
      </c>
      <c r="B522" t="str">
        <f t="shared" si="119"/>
        <v>AC Ravenna - 00085710390</v>
      </c>
      <c r="C522" t="str">
        <f>"SICUREZZA SUL LAVORO DL.81/2008"</f>
        <v>SICUREZZA SUL LAVORO DL.81/2008</v>
      </c>
      <c r="D522" t="str">
        <f t="shared" si="120"/>
        <v>23-AFFIDAMENTO DIRETTO</v>
      </c>
      <c r="E522" t="str">
        <f>"ECHOS ENGINEERING SRL - 02003550395"</f>
        <v>ECHOS ENGINEERING SRL - 02003550395</v>
      </c>
      <c r="F522" t="str">
        <f>"ECHOS ENGINEERING SRL - 02003550395"</f>
        <v>ECHOS ENGINEERING SRL - 02003550395</v>
      </c>
      <c r="G522" t="str">
        <f>"480,00 EUR"</f>
        <v>480,00 EUR</v>
      </c>
      <c r="H522" t="str">
        <f>"21/01/2015 - 02/03/2015"</f>
        <v>21/01/2015 - 02/03/2015</v>
      </c>
      <c r="I522" t="str">
        <f>"480,00 EUR"</f>
        <v>480,00 EUR</v>
      </c>
    </row>
    <row r="523" spans="1:9" x14ac:dyDescent="0.25">
      <c r="A523" t="str">
        <f>"ZB412D0951"</f>
        <v>ZB412D0951</v>
      </c>
      <c r="B523" t="str">
        <f t="shared" si="119"/>
        <v>AC Ravenna - 00085710390</v>
      </c>
      <c r="C523" t="str">
        <f>"VIGILANZA NOTTURNA 1Â° SEMESTRE"</f>
        <v>VIGILANZA NOTTURNA 1Â° SEMESTRE</v>
      </c>
      <c r="D523" t="str">
        <f t="shared" si="120"/>
        <v>23-AFFIDAMENTO DIRETTO</v>
      </c>
      <c r="E523" t="str">
        <f>"C.I.V.I.S. AUGUSTUS S.r.l. - 01042410405"</f>
        <v>C.I.V.I.S. AUGUSTUS S.r.l. - 01042410405</v>
      </c>
      <c r="F523" t="str">
        <f>"C.I.V.I.S. AUGUSTUS S.r.l. - 01042410405"</f>
        <v>C.I.V.I.S. AUGUSTUS S.r.l. - 01042410405</v>
      </c>
      <c r="G523" t="str">
        <f>"469,00 EUR"</f>
        <v>469,00 EUR</v>
      </c>
      <c r="H523" t="str">
        <f>"20/01/2015 - 02/02/2015"</f>
        <v>20/01/2015 - 02/02/2015</v>
      </c>
      <c r="I523" t="str">
        <f>"469,00 EUR"</f>
        <v>469,00 EUR</v>
      </c>
    </row>
    <row r="524" spans="1:9" x14ac:dyDescent="0.25">
      <c r="A524" t="str">
        <f>"ZEE12A717C"</f>
        <v>ZEE12A717C</v>
      </c>
      <c r="B524" t="str">
        <f t="shared" si="119"/>
        <v>AC Ravenna - 00085710390</v>
      </c>
      <c r="C524" t="str">
        <f>"CARTUCCIE INCHIOSTRO"</f>
        <v>CARTUCCIE INCHIOSTRO</v>
      </c>
      <c r="D524" t="str">
        <f t="shared" si="120"/>
        <v>23-AFFIDAMENTO DIRETTO</v>
      </c>
      <c r="E524" t="str">
        <f>"NEOPOST ITALIA S.r.l. - 12535770155"</f>
        <v>NEOPOST ITALIA S.r.l. - 12535770155</v>
      </c>
      <c r="F524" t="str">
        <f>"NEOPOST ITALIA S.r.l. - 12535770155"</f>
        <v>NEOPOST ITALIA S.r.l. - 12535770155</v>
      </c>
      <c r="G524" t="str">
        <f>"324,00 EUR"</f>
        <v>324,00 EUR</v>
      </c>
      <c r="H524" t="str">
        <f>"08/01/2015 - 27/01/2015"</f>
        <v>08/01/2015 - 27/01/2015</v>
      </c>
      <c r="I524" t="str">
        <f>"324,00 EUR"</f>
        <v>324,00 EUR</v>
      </c>
    </row>
    <row r="525" spans="1:9" x14ac:dyDescent="0.25">
      <c r="A525" t="str">
        <f>"Z671298DE8"</f>
        <v>Z671298DE8</v>
      </c>
      <c r="B525" t="str">
        <f t="shared" si="119"/>
        <v>AC Ravenna - 00085710390</v>
      </c>
      <c r="C525" t="str">
        <f>"CANONE HOSTING"</f>
        <v>CANONE HOSTING</v>
      </c>
      <c r="D525" t="str">
        <f t="shared" si="120"/>
        <v>23-AFFIDAMENTO DIRETTO</v>
      </c>
      <c r="E525" t="str">
        <f>"FARNEDI ICT SRL - 03840520401"</f>
        <v>FARNEDI ICT SRL - 03840520401</v>
      </c>
      <c r="F525" t="str">
        <f>"FARNEDI ICT SRL - 03840520401"</f>
        <v>FARNEDI ICT SRL - 03840520401</v>
      </c>
      <c r="G525" t="str">
        <f>"610,00 EUR"</f>
        <v>610,00 EUR</v>
      </c>
      <c r="H525" t="str">
        <f>"01/01/2015 - 21/01/2015"</f>
        <v>01/01/2015 - 21/01/2015</v>
      </c>
      <c r="I525" t="str">
        <f>"610,00 EUR"</f>
        <v>610,00 EUR</v>
      </c>
    </row>
    <row r="526" spans="1:9" x14ac:dyDescent="0.25">
      <c r="A526" t="str">
        <f>"ZA81259CE0"</f>
        <v>ZA81259CE0</v>
      </c>
      <c r="B526" t="str">
        <f t="shared" si="119"/>
        <v>AC Ravenna - 00085710390</v>
      </c>
      <c r="C526" t="str">
        <f>"Noleggio hardware"</f>
        <v>Noleggio hardware</v>
      </c>
      <c r="D526" t="str">
        <f t="shared" si="120"/>
        <v>23-AFFIDAMENTO DIRETTO</v>
      </c>
      <c r="E526" t="str">
        <f>"HARVARD GROUP S.r.l. - 02254110402"</f>
        <v>HARVARD GROUP S.r.l. - 02254110402</v>
      </c>
      <c r="F526" t="str">
        <f>"HARVARD GROUP S.r.l. - 02254110402"</f>
        <v>HARVARD GROUP S.r.l. - 02254110402</v>
      </c>
      <c r="G526" t="str">
        <f>"9.522,00 EUR"</f>
        <v>9.522,00 EUR</v>
      </c>
      <c r="H526" t="str">
        <f>"17/12/2014 - 31/12/2017"</f>
        <v>17/12/2014 - 31/12/2017</v>
      </c>
      <c r="I526" t="str">
        <f>"2.552,00 EUR"</f>
        <v>2.552,00 EUR</v>
      </c>
    </row>
    <row r="527" spans="1:9" x14ac:dyDescent="0.25">
      <c r="A527" t="str">
        <f>"ZE610FBC7B"</f>
        <v>ZE610FBC7B</v>
      </c>
      <c r="B527" t="str">
        <f t="shared" si="119"/>
        <v>AC Ravenna - 00085710390</v>
      </c>
      <c r="C527" t="str">
        <f>"Oggettistica Campagna Sociale 2015"</f>
        <v>Oggettistica Campagna Sociale 2015</v>
      </c>
      <c r="D527" t="str">
        <f>"04-PROCEDURA NEGOZIATA SENZA PREVIA PUBBLICAZIONE"</f>
        <v>04-PROCEDURA NEGOZIATA SENZA PREVIA PUBBLICAZIONE</v>
      </c>
      <c r="E527" t="str">
        <f>"CIPI SPA - 01201420872. PROMO 77 - 01938331202. ZEROCINQUE SRL - 02174750352. BASI ACHILLE SRL - 01511590349. SUNUP S.r.l. - 03496530365"</f>
        <v>CIPI SPA - 01201420872. PROMO 77 - 01938331202. ZEROCINQUE SRL - 02174750352. BASI ACHILLE SRL - 01511590349. SUNUP S.r.l. - 03496530365</v>
      </c>
      <c r="F527" t="str">
        <f>"BASI ACHILLE SRL - 01511590349"</f>
        <v>BASI ACHILLE SRL - 01511590349</v>
      </c>
      <c r="G527" t="str">
        <f>"18.500,00 EUR"</f>
        <v>18.500,00 EUR</v>
      </c>
      <c r="H527" t="str">
        <f>"29/09/2014 - 02/03/2015"</f>
        <v>29/09/2014 - 02/03/2015</v>
      </c>
      <c r="I527" t="str">
        <f>"15.900,00 EUR"</f>
        <v>15.900,00 EUR</v>
      </c>
    </row>
    <row r="528" spans="1:9" x14ac:dyDescent="0.25">
      <c r="A528" t="str">
        <f>"ZB20FDDA62"</f>
        <v>ZB20FDDA62</v>
      </c>
      <c r="B528" t="str">
        <f t="shared" si="119"/>
        <v>AC Ravenna - 00085710390</v>
      </c>
      <c r="C528" t="str">
        <f>"Noleggio affrancatrice"</f>
        <v>Noleggio affrancatrice</v>
      </c>
      <c r="D528" t="str">
        <f t="shared" ref="D528:D535" si="121">"23-AFFIDAMENTO DIRETTO"</f>
        <v>23-AFFIDAMENTO DIRETTO</v>
      </c>
      <c r="E528" t="str">
        <f>"NEOPOST RENTAL ITALIA SRL - 05448770965"</f>
        <v>NEOPOST RENTAL ITALIA SRL - 05448770965</v>
      </c>
      <c r="F528" t="str">
        <f>"NEOPOST RENTAL ITALIA SRL - 05448770965"</f>
        <v>NEOPOST RENTAL ITALIA SRL - 05448770965</v>
      </c>
      <c r="G528" t="str">
        <f>"1.296,00 EUR"</f>
        <v>1.296,00 EUR</v>
      </c>
      <c r="H528" t="str">
        <f>"26/06/2014 - 25/06/2017"</f>
        <v>26/06/2014 - 25/06/2017</v>
      </c>
      <c r="I528" t="str">
        <f>"324,00 EUR"</f>
        <v>324,00 EUR</v>
      </c>
    </row>
    <row r="529" spans="1:9" x14ac:dyDescent="0.25">
      <c r="A529" t="str">
        <f>"Z302DC9841"</f>
        <v>Z302DC9841</v>
      </c>
      <c r="B529" t="str">
        <f t="shared" ref="B529:B535" si="122">"Automobile Club di Ravenna (ACRavenna) - 00085710390"</f>
        <v>Automobile Club di Ravenna (ACRavenna) - 00085710390</v>
      </c>
      <c r="C529" t="str">
        <f>"SERVIZIO RECAPITO BOLSE"</f>
        <v>SERVIZIO RECAPITO BOLSE</v>
      </c>
      <c r="D529" t="str">
        <f t="shared" si="121"/>
        <v>23-AFFIDAMENTO DIRETTO</v>
      </c>
      <c r="E529" t="str">
        <f t="shared" ref="E529:F531" si="123">"FUTURFIL SRL - 02471780391"</f>
        <v>FUTURFIL SRL - 02471780391</v>
      </c>
      <c r="F529" t="str">
        <f t="shared" si="123"/>
        <v>FUTURFIL SRL - 02471780391</v>
      </c>
      <c r="G529" t="str">
        <f>"145,00 EUR"</f>
        <v>145,00 EUR</v>
      </c>
      <c r="H529" t="str">
        <f>""</f>
        <v/>
      </c>
      <c r="I529" t="str">
        <f t="shared" ref="I529:I535" si="124">"0,00 EUR"</f>
        <v>0,00 EUR</v>
      </c>
    </row>
    <row r="530" spans="1:9" x14ac:dyDescent="0.25">
      <c r="A530" t="str">
        <f>"ZBE2DC984A"</f>
        <v>ZBE2DC984A</v>
      </c>
      <c r="B530" t="str">
        <f t="shared" si="122"/>
        <v>Automobile Club di Ravenna (ACRavenna) - 00085710390</v>
      </c>
      <c r="C530" t="str">
        <f>"SERVIZIO RECAPITO PATENTI"</f>
        <v>SERVIZIO RECAPITO PATENTI</v>
      </c>
      <c r="D530" t="str">
        <f t="shared" si="121"/>
        <v>23-AFFIDAMENTO DIRETTO</v>
      </c>
      <c r="E530" t="str">
        <f t="shared" si="123"/>
        <v>FUTURFIL SRL - 02471780391</v>
      </c>
      <c r="F530" t="str">
        <f t="shared" si="123"/>
        <v>FUTURFIL SRL - 02471780391</v>
      </c>
      <c r="G530" t="str">
        <f>"282,00 EUR"</f>
        <v>282,00 EUR</v>
      </c>
      <c r="H530" t="str">
        <f>""</f>
        <v/>
      </c>
      <c r="I530" t="str">
        <f t="shared" si="124"/>
        <v>0,00 EUR</v>
      </c>
    </row>
    <row r="531" spans="1:9" x14ac:dyDescent="0.25">
      <c r="A531" t="str">
        <f>"Z632DC9846"</f>
        <v>Z632DC9846</v>
      </c>
      <c r="B531" t="str">
        <f t="shared" si="122"/>
        <v>Automobile Club di Ravenna (ACRavenna) - 00085710390</v>
      </c>
      <c r="C531" t="str">
        <f>"SERVIZIO RECAPITO SOCI"</f>
        <v>SERVIZIO RECAPITO SOCI</v>
      </c>
      <c r="D531" t="str">
        <f t="shared" si="121"/>
        <v>23-AFFIDAMENTO DIRETTO</v>
      </c>
      <c r="E531" t="str">
        <f t="shared" si="123"/>
        <v>FUTURFIL SRL - 02471780391</v>
      </c>
      <c r="F531" t="str">
        <f t="shared" si="123"/>
        <v>FUTURFIL SRL - 02471780391</v>
      </c>
      <c r="G531" t="str">
        <f>"145,00 EUR"</f>
        <v>145,00 EUR</v>
      </c>
      <c r="H531" t="str">
        <f>""</f>
        <v/>
      </c>
      <c r="I531" t="str">
        <f t="shared" si="124"/>
        <v>0,00 EUR</v>
      </c>
    </row>
    <row r="532" spans="1:9" x14ac:dyDescent="0.25">
      <c r="A532" t="str">
        <f>"ZF82DC983C"</f>
        <v>ZF82DC983C</v>
      </c>
      <c r="B532" t="str">
        <f t="shared" si="122"/>
        <v>Automobile Club di Ravenna (ACRavenna) - 00085710390</v>
      </c>
      <c r="C532" t="str">
        <f>"ELAB FILE PATENTI"</f>
        <v>ELAB FILE PATENTI</v>
      </c>
      <c r="D532" t="str">
        <f t="shared" si="121"/>
        <v>23-AFFIDAMENTO DIRETTO</v>
      </c>
      <c r="E532" t="str">
        <f>"GAMMA INDIRIZZI SRL - 01048250391"</f>
        <v>GAMMA INDIRIZZI SRL - 01048250391</v>
      </c>
      <c r="F532" t="str">
        <f>"GAMMA INDIRIZZI SRL - 01048250391"</f>
        <v>GAMMA INDIRIZZI SRL - 01048250391</v>
      </c>
      <c r="G532" t="str">
        <f>"513,00 EUR"</f>
        <v>513,00 EUR</v>
      </c>
      <c r="H532" t="str">
        <f>""</f>
        <v/>
      </c>
      <c r="I532" t="str">
        <f t="shared" si="124"/>
        <v>0,00 EUR</v>
      </c>
    </row>
    <row r="533" spans="1:9" x14ac:dyDescent="0.25">
      <c r="A533" t="str">
        <f>"Z4D2DC983A"</f>
        <v>Z4D2DC983A</v>
      </c>
      <c r="B533" t="str">
        <f t="shared" si="122"/>
        <v>Automobile Club di Ravenna (ACRavenna) - 00085710390</v>
      </c>
      <c r="C533" t="str">
        <f>"ELAB FILE SOCI"</f>
        <v>ELAB FILE SOCI</v>
      </c>
      <c r="D533" t="str">
        <f t="shared" si="121"/>
        <v>23-AFFIDAMENTO DIRETTO</v>
      </c>
      <c r="E533" t="str">
        <f>"GAMMA INDIRIZZI SRL - 01048250391"</f>
        <v>GAMMA INDIRIZZI SRL - 01048250391</v>
      </c>
      <c r="F533" t="str">
        <f>"GAMMA INDIRIZZI SRL - 01048250391"</f>
        <v>GAMMA INDIRIZZI SRL - 01048250391</v>
      </c>
      <c r="G533" t="str">
        <f>"114,00 EUR"</f>
        <v>114,00 EUR</v>
      </c>
      <c r="H533" t="str">
        <f>""</f>
        <v/>
      </c>
      <c r="I533" t="str">
        <f t="shared" si="124"/>
        <v>0,00 EUR</v>
      </c>
    </row>
    <row r="534" spans="1:9" x14ac:dyDescent="0.25">
      <c r="A534" t="str">
        <f>"Z1C2DBDA89"</f>
        <v>Z1C2DBDA89</v>
      </c>
      <c r="B534" t="str">
        <f t="shared" si="122"/>
        <v>Automobile Club di Ravenna (ACRavenna) - 00085710390</v>
      </c>
      <c r="C534" t="str">
        <f>"FORNITURA MODULISTICA PERSONALIZZATA"</f>
        <v>FORNITURA MODULISTICA PERSONALIZZATA</v>
      </c>
      <c r="D534" t="str">
        <f t="shared" si="121"/>
        <v>23-AFFIDAMENTO DIRETTO</v>
      </c>
      <c r="E534" t="str">
        <f>"MAZZANTI PRINTCOLOR SRL - 02091850395"</f>
        <v>MAZZANTI PRINTCOLOR SRL - 02091850395</v>
      </c>
      <c r="F534" t="str">
        <f>"MAZZANTI PRINTCOLOR SRL - 02091850395"</f>
        <v>MAZZANTI PRINTCOLOR SRL - 02091850395</v>
      </c>
      <c r="G534" t="str">
        <f>"270,00 EUR"</f>
        <v>270,00 EUR</v>
      </c>
      <c r="H534" t="str">
        <f>""</f>
        <v/>
      </c>
      <c r="I534" t="str">
        <f t="shared" si="124"/>
        <v>0,00 EUR</v>
      </c>
    </row>
    <row r="535" spans="1:9" x14ac:dyDescent="0.25">
      <c r="A535" t="str">
        <f>"Z4B2DBDA75"</f>
        <v>Z4B2DBDA75</v>
      </c>
      <c r="B535" t="str">
        <f t="shared" si="122"/>
        <v>Automobile Club di Ravenna (ACRavenna) - 00085710390</v>
      </c>
      <c r="C535" t="str">
        <f>"SOSTITUZIONE UPS"</f>
        <v>SOSTITUZIONE UPS</v>
      </c>
      <c r="D535" t="str">
        <f t="shared" si="121"/>
        <v>23-AFFIDAMENTO DIRETTO</v>
      </c>
      <c r="E535" t="str">
        <f>"MORGAGNI IMPIANTI ELETTRICI - 02650650399"</f>
        <v>MORGAGNI IMPIANTI ELETTRICI - 02650650399</v>
      </c>
      <c r="F535" t="str">
        <f>"MORGAGNI IMPIANTI ELETTRICI - 02650650399"</f>
        <v>MORGAGNI IMPIANTI ELETTRICI - 02650650399</v>
      </c>
      <c r="G535" t="str">
        <f>"1.250,00 EUR"</f>
        <v>1.250,00 EUR</v>
      </c>
      <c r="H535" t="str">
        <f>""</f>
        <v/>
      </c>
      <c r="I535" t="str">
        <f t="shared" si="124"/>
        <v>0,00 EUR</v>
      </c>
    </row>
    <row r="536" spans="1:9" x14ac:dyDescent="0.25">
      <c r="A536" t="str">
        <f t="shared" ref="A536:A541" si="125">"0000000000"</f>
        <v>0000000000</v>
      </c>
      <c r="B536" t="str">
        <f t="shared" ref="B536:B567" si="126">"AC Ravenna - 00085710390"</f>
        <v>AC Ravenna - 00085710390</v>
      </c>
      <c r="C536" t="str">
        <f t="shared" ref="C536:C541" si="127">"CONVENZIONE ACRA/ACITOUR SERVICE SRL PER SERVIZI VARI"</f>
        <v>CONVENZIONE ACRA/ACITOUR SERVICE SRL PER SERVIZI VARI</v>
      </c>
      <c r="D536" t="str">
        <f t="shared" ref="D536:D541" si="128">"24-AFFIDAMENTO DIRETTO A SOCIETA' IN HOUSE"</f>
        <v>24-AFFIDAMENTO DIRETTO A SOCIETA' IN HOUSE</v>
      </c>
      <c r="E536" t="str">
        <f t="shared" ref="E536:F541" si="129">"ACITOUR SERVICE SRL in house - 01032170399"</f>
        <v>ACITOUR SERVICE SRL in house - 01032170399</v>
      </c>
      <c r="F536" t="str">
        <f t="shared" si="129"/>
        <v>ACITOUR SERVICE SRL in house - 01032170399</v>
      </c>
      <c r="G536" t="str">
        <f>"50.000,00 EUR"</f>
        <v>50.000,00 EUR</v>
      </c>
      <c r="H536" t="str">
        <f t="shared" ref="H536:H541" si="130">"01/01/2019 - 31/12/2019"</f>
        <v>01/01/2019 - 31/12/2019</v>
      </c>
      <c r="I536" t="str">
        <f>"50.000,00 EUR"</f>
        <v>50.000,00 EUR</v>
      </c>
    </row>
    <row r="537" spans="1:9" x14ac:dyDescent="0.25">
      <c r="A537" t="str">
        <f t="shared" si="125"/>
        <v>0000000000</v>
      </c>
      <c r="B537" t="str">
        <f t="shared" si="126"/>
        <v>AC Ravenna - 00085710390</v>
      </c>
      <c r="C537" t="str">
        <f t="shared" si="127"/>
        <v>CONVENZIONE ACRA/ACITOUR SERVICE SRL PER SERVIZI VARI</v>
      </c>
      <c r="D537" t="str">
        <f t="shared" si="128"/>
        <v>24-AFFIDAMENTO DIRETTO A SOCIETA' IN HOUSE</v>
      </c>
      <c r="E537" t="str">
        <f t="shared" si="129"/>
        <v>ACITOUR SERVICE SRL in house - 01032170399</v>
      </c>
      <c r="F537" t="str">
        <f t="shared" si="129"/>
        <v>ACITOUR SERVICE SRL in house - 01032170399</v>
      </c>
      <c r="G537" t="str">
        <f>"40.000,00 EUR"</f>
        <v>40.000,00 EUR</v>
      </c>
      <c r="H537" t="str">
        <f t="shared" si="130"/>
        <v>01/01/2019 - 31/12/2019</v>
      </c>
      <c r="I537" t="str">
        <f>"40.000,00 EUR"</f>
        <v>40.000,00 EUR</v>
      </c>
    </row>
    <row r="538" spans="1:9" x14ac:dyDescent="0.25">
      <c r="A538" t="str">
        <f t="shared" si="125"/>
        <v>0000000000</v>
      </c>
      <c r="B538" t="str">
        <f t="shared" si="126"/>
        <v>AC Ravenna - 00085710390</v>
      </c>
      <c r="C538" t="str">
        <f t="shared" si="127"/>
        <v>CONVENZIONE ACRA/ACITOUR SERVICE SRL PER SERVIZI VARI</v>
      </c>
      <c r="D538" t="str">
        <f t="shared" si="128"/>
        <v>24-AFFIDAMENTO DIRETTO A SOCIETA' IN HOUSE</v>
      </c>
      <c r="E538" t="str">
        <f t="shared" si="129"/>
        <v>ACITOUR SERVICE SRL in house - 01032170399</v>
      </c>
      <c r="F538" t="str">
        <f t="shared" si="129"/>
        <v>ACITOUR SERVICE SRL in house - 01032170399</v>
      </c>
      <c r="G538" t="str">
        <f>"10.000,00 EUR"</f>
        <v>10.000,00 EUR</v>
      </c>
      <c r="H538" t="str">
        <f t="shared" si="130"/>
        <v>01/01/2019 - 31/12/2019</v>
      </c>
      <c r="I538" t="str">
        <f>"10.000,00 EUR"</f>
        <v>10.000,00 EUR</v>
      </c>
    </row>
    <row r="539" spans="1:9" x14ac:dyDescent="0.25">
      <c r="A539" t="str">
        <f t="shared" si="125"/>
        <v>0000000000</v>
      </c>
      <c r="B539" t="str">
        <f t="shared" si="126"/>
        <v>AC Ravenna - 00085710390</v>
      </c>
      <c r="C539" t="str">
        <f t="shared" si="127"/>
        <v>CONVENZIONE ACRA/ACITOUR SERVICE SRL PER SERVIZI VARI</v>
      </c>
      <c r="D539" t="str">
        <f t="shared" si="128"/>
        <v>24-AFFIDAMENTO DIRETTO A SOCIETA' IN HOUSE</v>
      </c>
      <c r="E539" t="str">
        <f t="shared" si="129"/>
        <v>ACITOUR SERVICE SRL in house - 01032170399</v>
      </c>
      <c r="F539" t="str">
        <f t="shared" si="129"/>
        <v>ACITOUR SERVICE SRL in house - 01032170399</v>
      </c>
      <c r="G539" t="str">
        <f>"25.000,00 EUR"</f>
        <v>25.000,00 EUR</v>
      </c>
      <c r="H539" t="str">
        <f t="shared" si="130"/>
        <v>01/01/2019 - 31/12/2019</v>
      </c>
      <c r="I539" t="str">
        <f>"25.000,00 EUR"</f>
        <v>25.000,00 EUR</v>
      </c>
    </row>
    <row r="540" spans="1:9" x14ac:dyDescent="0.25">
      <c r="A540" t="str">
        <f t="shared" si="125"/>
        <v>0000000000</v>
      </c>
      <c r="B540" t="str">
        <f t="shared" si="126"/>
        <v>AC Ravenna - 00085710390</v>
      </c>
      <c r="C540" t="str">
        <f t="shared" si="127"/>
        <v>CONVENZIONE ACRA/ACITOUR SERVICE SRL PER SERVIZI VARI</v>
      </c>
      <c r="D540" t="str">
        <f t="shared" si="128"/>
        <v>24-AFFIDAMENTO DIRETTO A SOCIETA' IN HOUSE</v>
      </c>
      <c r="E540" t="str">
        <f t="shared" si="129"/>
        <v>ACITOUR SERVICE SRL in house - 01032170399</v>
      </c>
      <c r="F540" t="str">
        <f t="shared" si="129"/>
        <v>ACITOUR SERVICE SRL in house - 01032170399</v>
      </c>
      <c r="G540" t="str">
        <f>"25.000,00 EUR"</f>
        <v>25.000,00 EUR</v>
      </c>
      <c r="H540" t="str">
        <f t="shared" si="130"/>
        <v>01/01/2019 - 31/12/2019</v>
      </c>
      <c r="I540" t="str">
        <f>"25.000,00 EUR"</f>
        <v>25.000,00 EUR</v>
      </c>
    </row>
    <row r="541" spans="1:9" x14ac:dyDescent="0.25">
      <c r="A541" t="str">
        <f t="shared" si="125"/>
        <v>0000000000</v>
      </c>
      <c r="B541" t="str">
        <f t="shared" si="126"/>
        <v>AC Ravenna - 00085710390</v>
      </c>
      <c r="C541" t="str">
        <f t="shared" si="127"/>
        <v>CONVENZIONE ACRA/ACITOUR SERVICE SRL PER SERVIZI VARI</v>
      </c>
      <c r="D541" t="str">
        <f t="shared" si="128"/>
        <v>24-AFFIDAMENTO DIRETTO A SOCIETA' IN HOUSE</v>
      </c>
      <c r="E541" t="str">
        <f t="shared" si="129"/>
        <v>ACITOUR SERVICE SRL in house - 01032170399</v>
      </c>
      <c r="F541" t="str">
        <f t="shared" si="129"/>
        <v>ACITOUR SERVICE SRL in house - 01032170399</v>
      </c>
      <c r="G541" t="str">
        <f>"50.000,00 EUR"</f>
        <v>50.000,00 EUR</v>
      </c>
      <c r="H541" t="str">
        <f t="shared" si="130"/>
        <v>01/01/2019 - 31/12/2019</v>
      </c>
      <c r="I541" t="str">
        <f>"50.000,00 EUR"</f>
        <v>50.000,00 EUR</v>
      </c>
    </row>
    <row r="542" spans="1:9" x14ac:dyDescent="0.25">
      <c r="A542" t="str">
        <f>"ZB42B61EBF"</f>
        <v>ZB42B61EBF</v>
      </c>
      <c r="B542" t="str">
        <f t="shared" si="126"/>
        <v>AC Ravenna - 00085710390</v>
      </c>
      <c r="C542" t="str">
        <f>"SERVIZIO RECAPITO PATENTI"</f>
        <v>SERVIZIO RECAPITO PATENTI</v>
      </c>
      <c r="D542" t="str">
        <f t="shared" ref="D542:D605" si="131">"23-AFFIDAMENTO DIRETTO"</f>
        <v>23-AFFIDAMENTO DIRETTO</v>
      </c>
      <c r="E542" t="str">
        <f t="shared" ref="E542:F544" si="132">"FUTURFIL SRL - 02471780391"</f>
        <v>FUTURFIL SRL - 02471780391</v>
      </c>
      <c r="F542" t="str">
        <f t="shared" si="132"/>
        <v>FUTURFIL SRL - 02471780391</v>
      </c>
      <c r="G542" t="str">
        <f>"382,00 EUR"</f>
        <v>382,00 EUR</v>
      </c>
      <c r="H542" t="str">
        <f t="shared" ref="H542:H547" si="133">"28/12/2019 - 31/12/2019"</f>
        <v>28/12/2019 - 31/12/2019</v>
      </c>
      <c r="I542" t="str">
        <f>"382,00 EUR"</f>
        <v>382,00 EUR</v>
      </c>
    </row>
    <row r="543" spans="1:9" x14ac:dyDescent="0.25">
      <c r="A543" t="str">
        <f>"ZA92B61EB9"</f>
        <v>ZA92B61EB9</v>
      </c>
      <c r="B543" t="str">
        <f t="shared" si="126"/>
        <v>AC Ravenna - 00085710390</v>
      </c>
      <c r="C543" t="str">
        <f>"SERVIZIO RECAPITO SOCI"</f>
        <v>SERVIZIO RECAPITO SOCI</v>
      </c>
      <c r="D543" t="str">
        <f t="shared" si="131"/>
        <v>23-AFFIDAMENTO DIRETTO</v>
      </c>
      <c r="E543" t="str">
        <f t="shared" si="132"/>
        <v>FUTURFIL SRL - 02471780391</v>
      </c>
      <c r="F543" t="str">
        <f t="shared" si="132"/>
        <v>FUTURFIL SRL - 02471780391</v>
      </c>
      <c r="G543" t="str">
        <f>"186,00 EUR"</f>
        <v>186,00 EUR</v>
      </c>
      <c r="H543" t="str">
        <f t="shared" si="133"/>
        <v>28/12/2019 - 31/12/2019</v>
      </c>
      <c r="I543" t="str">
        <f>"186,00 EUR"</f>
        <v>186,00 EUR</v>
      </c>
    </row>
    <row r="544" spans="1:9" x14ac:dyDescent="0.25">
      <c r="A544" t="str">
        <f>"Z762B61EB4"</f>
        <v>Z762B61EB4</v>
      </c>
      <c r="B544" t="str">
        <f t="shared" si="126"/>
        <v>AC Ravenna - 00085710390</v>
      </c>
      <c r="C544" t="str">
        <f>"SERVIZIO RECAPITO BOLSE"</f>
        <v>SERVIZIO RECAPITO BOLSE</v>
      </c>
      <c r="D544" t="str">
        <f t="shared" si="131"/>
        <v>23-AFFIDAMENTO DIRETTO</v>
      </c>
      <c r="E544" t="str">
        <f t="shared" si="132"/>
        <v>FUTURFIL SRL - 02471780391</v>
      </c>
      <c r="F544" t="str">
        <f t="shared" si="132"/>
        <v>FUTURFIL SRL - 02471780391</v>
      </c>
      <c r="G544" t="str">
        <f>"956,00 EUR"</f>
        <v>956,00 EUR</v>
      </c>
      <c r="H544" t="str">
        <f t="shared" si="133"/>
        <v>28/12/2019 - 31/12/2019</v>
      </c>
      <c r="I544" t="str">
        <f>"956,00 EUR"</f>
        <v>956,00 EUR</v>
      </c>
    </row>
    <row r="545" spans="1:9" x14ac:dyDescent="0.25">
      <c r="A545" t="str">
        <f>"ZD82B61EA5"</f>
        <v>ZD82B61EA5</v>
      </c>
      <c r="B545" t="str">
        <f t="shared" si="126"/>
        <v>AC Ravenna - 00085710390</v>
      </c>
      <c r="C545" t="str">
        <f>"ELAB PATENTI"</f>
        <v>ELAB PATENTI</v>
      </c>
      <c r="D545" t="str">
        <f t="shared" si="131"/>
        <v>23-AFFIDAMENTO DIRETTO</v>
      </c>
      <c r="E545" t="str">
        <f t="shared" ref="E545:F547" si="134">"GAMMA INDIRIZZI SRL - 01048250391"</f>
        <v>GAMMA INDIRIZZI SRL - 01048250391</v>
      </c>
      <c r="F545" t="str">
        <f t="shared" si="134"/>
        <v>GAMMA INDIRIZZI SRL - 01048250391</v>
      </c>
      <c r="G545" t="str">
        <f>"316,00 EUR"</f>
        <v>316,00 EUR</v>
      </c>
      <c r="H545" t="str">
        <f t="shared" si="133"/>
        <v>28/12/2019 - 31/12/2019</v>
      </c>
      <c r="I545" t="str">
        <f>"316,00 EUR"</f>
        <v>316,00 EUR</v>
      </c>
    </row>
    <row r="546" spans="1:9" x14ac:dyDescent="0.25">
      <c r="A546" t="str">
        <f>"Z552B61EA2"</f>
        <v>Z552B61EA2</v>
      </c>
      <c r="B546" t="str">
        <f t="shared" si="126"/>
        <v>AC Ravenna - 00085710390</v>
      </c>
      <c r="C546" t="str">
        <f>"ELAB SOCI"</f>
        <v>ELAB SOCI</v>
      </c>
      <c r="D546" t="str">
        <f t="shared" si="131"/>
        <v>23-AFFIDAMENTO DIRETTO</v>
      </c>
      <c r="E546" t="str">
        <f t="shared" si="134"/>
        <v>GAMMA INDIRIZZI SRL - 01048250391</v>
      </c>
      <c r="F546" t="str">
        <f t="shared" si="134"/>
        <v>GAMMA INDIRIZZI SRL - 01048250391</v>
      </c>
      <c r="G546" t="str">
        <f>"124,00 EUR"</f>
        <v>124,00 EUR</v>
      </c>
      <c r="H546" t="str">
        <f t="shared" si="133"/>
        <v>28/12/2019 - 31/12/2019</v>
      </c>
      <c r="I546" t="str">
        <f>"124,00 EUR"</f>
        <v>124,00 EUR</v>
      </c>
    </row>
    <row r="547" spans="1:9" x14ac:dyDescent="0.25">
      <c r="A547" t="str">
        <f>"Z222B61E9D"</f>
        <v>Z222B61E9D</v>
      </c>
      <c r="B547" t="str">
        <f t="shared" si="126"/>
        <v>AC Ravenna - 00085710390</v>
      </c>
      <c r="C547" t="str">
        <f>"ELAB. BOLSE"</f>
        <v>ELAB. BOLSE</v>
      </c>
      <c r="D547" t="str">
        <f t="shared" si="131"/>
        <v>23-AFFIDAMENTO DIRETTO</v>
      </c>
      <c r="E547" t="str">
        <f t="shared" si="134"/>
        <v>GAMMA INDIRIZZI SRL - 01048250391</v>
      </c>
      <c r="F547" t="str">
        <f t="shared" si="134"/>
        <v>GAMMA INDIRIZZI SRL - 01048250391</v>
      </c>
      <c r="G547" t="str">
        <f>"640,00 EUR"</f>
        <v>640,00 EUR</v>
      </c>
      <c r="H547" t="str">
        <f t="shared" si="133"/>
        <v>28/12/2019 - 31/12/2019</v>
      </c>
      <c r="I547" t="str">
        <f>"640,00 EUR"</f>
        <v>640,00 EUR</v>
      </c>
    </row>
    <row r="548" spans="1:9" x14ac:dyDescent="0.25">
      <c r="A548" t="str">
        <f>"Z352B455EF"</f>
        <v>Z352B455EF</v>
      </c>
      <c r="B548" t="str">
        <f t="shared" si="126"/>
        <v>AC Ravenna - 00085710390</v>
      </c>
      <c r="C548" t="str">
        <f>"BANDIERE DA ESTERNO"</f>
        <v>BANDIERE DA ESTERNO</v>
      </c>
      <c r="D548" t="str">
        <f t="shared" si="131"/>
        <v>23-AFFIDAMENTO DIRETTO</v>
      </c>
      <c r="E548" t="str">
        <f>"ADRIA BANDIERE SRL - 02205060409"</f>
        <v>ADRIA BANDIERE SRL - 02205060409</v>
      </c>
      <c r="F548" t="str">
        <f>"ADRIA BANDIERE SRL - 02205060409"</f>
        <v>ADRIA BANDIERE SRL - 02205060409</v>
      </c>
      <c r="G548" t="str">
        <f>"65,00 EUR"</f>
        <v>65,00 EUR</v>
      </c>
      <c r="H548" t="str">
        <f>"18/12/2019 - 31/01/2020"</f>
        <v>18/12/2019 - 31/01/2020</v>
      </c>
      <c r="I548" t="str">
        <f>"0,00 EUR"</f>
        <v>0,00 EUR</v>
      </c>
    </row>
    <row r="549" spans="1:9" x14ac:dyDescent="0.25">
      <c r="A549" t="str">
        <f>"Z922B38B88"</f>
        <v>Z922B38B88</v>
      </c>
      <c r="B549" t="str">
        <f t="shared" si="126"/>
        <v>AC Ravenna - 00085710390</v>
      </c>
      <c r="C549" t="str">
        <f>"CONSULENZA"</f>
        <v>CONSULENZA</v>
      </c>
      <c r="D549" t="str">
        <f t="shared" si="131"/>
        <v>23-AFFIDAMENTO DIRETTO</v>
      </c>
      <c r="E549" t="str">
        <f>"SAVINI ALESSANDRA - 01286780398"</f>
        <v>SAVINI ALESSANDRA - 01286780398</v>
      </c>
      <c r="F549" t="str">
        <f>"SAVINI ALESSANDRA - 01286780398"</f>
        <v>SAVINI ALESSANDRA - 01286780398</v>
      </c>
      <c r="G549" t="str">
        <f>"1.550,00 EUR"</f>
        <v>1.550,00 EUR</v>
      </c>
      <c r="H549" t="str">
        <f>"16/12/2019 - 31/12/2019"</f>
        <v>16/12/2019 - 31/12/2019</v>
      </c>
      <c r="I549" t="str">
        <f>"1.550,00 EUR"</f>
        <v>1.550,00 EUR</v>
      </c>
    </row>
    <row r="550" spans="1:9" x14ac:dyDescent="0.25">
      <c r="A550" t="str">
        <f>"Z972AD7EC2"</f>
        <v>Z972AD7EC2</v>
      </c>
      <c r="B550" t="str">
        <f t="shared" si="126"/>
        <v>AC Ravenna - 00085710390</v>
      </c>
      <c r="C550" t="str">
        <f>"SERVIZIO RECAPITO PATENTI"</f>
        <v>SERVIZIO RECAPITO PATENTI</v>
      </c>
      <c r="D550" t="str">
        <f t="shared" si="131"/>
        <v>23-AFFIDAMENTO DIRETTO</v>
      </c>
      <c r="E550" t="str">
        <f t="shared" ref="E550:F552" si="135">"FUTURFIL SRL - 02471780391"</f>
        <v>FUTURFIL SRL - 02471780391</v>
      </c>
      <c r="F550" t="str">
        <f t="shared" si="135"/>
        <v>FUTURFIL SRL - 02471780391</v>
      </c>
      <c r="G550" t="str">
        <f>"266,00 EUR"</f>
        <v>266,00 EUR</v>
      </c>
      <c r="H550" t="str">
        <f t="shared" ref="H550:H555" si="136">"26/11/2019 - 10/12/2019"</f>
        <v>26/11/2019 - 10/12/2019</v>
      </c>
      <c r="I550" t="str">
        <f>"266,00 EUR"</f>
        <v>266,00 EUR</v>
      </c>
    </row>
    <row r="551" spans="1:9" x14ac:dyDescent="0.25">
      <c r="A551" t="str">
        <f>"Z312AD7EB8"</f>
        <v>Z312AD7EB8</v>
      </c>
      <c r="B551" t="str">
        <f t="shared" si="126"/>
        <v>AC Ravenna - 00085710390</v>
      </c>
      <c r="C551" t="str">
        <f>"SERVIZIO RECAPITO SOCI"</f>
        <v>SERVIZIO RECAPITO SOCI</v>
      </c>
      <c r="D551" t="str">
        <f t="shared" si="131"/>
        <v>23-AFFIDAMENTO DIRETTO</v>
      </c>
      <c r="E551" t="str">
        <f t="shared" si="135"/>
        <v>FUTURFIL SRL - 02471780391</v>
      </c>
      <c r="F551" t="str">
        <f t="shared" si="135"/>
        <v>FUTURFIL SRL - 02471780391</v>
      </c>
      <c r="G551" t="str">
        <f>"270,00 EUR"</f>
        <v>270,00 EUR</v>
      </c>
      <c r="H551" t="str">
        <f t="shared" si="136"/>
        <v>26/11/2019 - 10/12/2019</v>
      </c>
      <c r="I551" t="str">
        <f>"270,00 EUR"</f>
        <v>270,00 EUR</v>
      </c>
    </row>
    <row r="552" spans="1:9" x14ac:dyDescent="0.25">
      <c r="A552" t="str">
        <f>"ZA52AD7E9C"</f>
        <v>ZA52AD7E9C</v>
      </c>
      <c r="B552" t="str">
        <f t="shared" si="126"/>
        <v>AC Ravenna - 00085710390</v>
      </c>
      <c r="C552" t="str">
        <f>"SERVIZIO RECAPITO BOLSE"</f>
        <v>SERVIZIO RECAPITO BOLSE</v>
      </c>
      <c r="D552" t="str">
        <f t="shared" si="131"/>
        <v>23-AFFIDAMENTO DIRETTO</v>
      </c>
      <c r="E552" t="str">
        <f t="shared" si="135"/>
        <v>FUTURFIL SRL - 02471780391</v>
      </c>
      <c r="F552" t="str">
        <f t="shared" si="135"/>
        <v>FUTURFIL SRL - 02471780391</v>
      </c>
      <c r="G552" t="str">
        <f>"237,00 EUR"</f>
        <v>237,00 EUR</v>
      </c>
      <c r="H552" t="str">
        <f t="shared" si="136"/>
        <v>26/11/2019 - 10/12/2019</v>
      </c>
      <c r="I552" t="str">
        <f>"237,00 EUR"</f>
        <v>237,00 EUR</v>
      </c>
    </row>
    <row r="553" spans="1:9" x14ac:dyDescent="0.25">
      <c r="A553" t="str">
        <f>"Z1E2AD7E80"</f>
        <v>Z1E2AD7E80</v>
      </c>
      <c r="B553" t="str">
        <f t="shared" si="126"/>
        <v>AC Ravenna - 00085710390</v>
      </c>
      <c r="C553" t="str">
        <f>"ELAB PATENTI"</f>
        <v>ELAB PATENTI</v>
      </c>
      <c r="D553" t="str">
        <f t="shared" si="131"/>
        <v>23-AFFIDAMENTO DIRETTO</v>
      </c>
      <c r="E553" t="str">
        <f t="shared" ref="E553:F555" si="137">"GAMMA INDIRIZZI SRL - 01048250391"</f>
        <v>GAMMA INDIRIZZI SRL - 01048250391</v>
      </c>
      <c r="F553" t="str">
        <f t="shared" si="137"/>
        <v>GAMMA INDIRIZZI SRL - 01048250391</v>
      </c>
      <c r="G553" t="str">
        <f>"69,00 EUR"</f>
        <v>69,00 EUR</v>
      </c>
      <c r="H553" t="str">
        <f t="shared" si="136"/>
        <v>26/11/2019 - 10/12/2019</v>
      </c>
      <c r="I553" t="str">
        <f>"69,00 EUR"</f>
        <v>69,00 EUR</v>
      </c>
    </row>
    <row r="554" spans="1:9" x14ac:dyDescent="0.25">
      <c r="A554" t="str">
        <f>"Z802AD7E71"</f>
        <v>Z802AD7E71</v>
      </c>
      <c r="B554" t="str">
        <f t="shared" si="126"/>
        <v>AC Ravenna - 00085710390</v>
      </c>
      <c r="C554" t="str">
        <f>"ELAB SOCI"</f>
        <v>ELAB SOCI</v>
      </c>
      <c r="D554" t="str">
        <f t="shared" si="131"/>
        <v>23-AFFIDAMENTO DIRETTO</v>
      </c>
      <c r="E554" t="str">
        <f t="shared" si="137"/>
        <v>GAMMA INDIRIZZI SRL - 01048250391</v>
      </c>
      <c r="F554" t="str">
        <f t="shared" si="137"/>
        <v>GAMMA INDIRIZZI SRL - 01048250391</v>
      </c>
      <c r="G554" t="str">
        <f>"118,00 EUR"</f>
        <v>118,00 EUR</v>
      </c>
      <c r="H554" t="str">
        <f t="shared" si="136"/>
        <v>26/11/2019 - 10/12/2019</v>
      </c>
      <c r="I554" t="str">
        <f>"118,00 EUR"</f>
        <v>118,00 EUR</v>
      </c>
    </row>
    <row r="555" spans="1:9" x14ac:dyDescent="0.25">
      <c r="A555" t="str">
        <f>"Z042AD7E5B"</f>
        <v>Z042AD7E5B</v>
      </c>
      <c r="B555" t="str">
        <f t="shared" si="126"/>
        <v>AC Ravenna - 00085710390</v>
      </c>
      <c r="C555" t="str">
        <f>"ELAB BOLSE"</f>
        <v>ELAB BOLSE</v>
      </c>
      <c r="D555" t="str">
        <f t="shared" si="131"/>
        <v>23-AFFIDAMENTO DIRETTO</v>
      </c>
      <c r="E555" t="str">
        <f t="shared" si="137"/>
        <v>GAMMA INDIRIZZI SRL - 01048250391</v>
      </c>
      <c r="F555" t="str">
        <f t="shared" si="137"/>
        <v>GAMMA INDIRIZZI SRL - 01048250391</v>
      </c>
      <c r="G555" t="str">
        <f>"181,00 EUR"</f>
        <v>181,00 EUR</v>
      </c>
      <c r="H555" t="str">
        <f t="shared" si="136"/>
        <v>26/11/2019 - 10/12/2019</v>
      </c>
      <c r="I555" t="str">
        <f>"181,00 EUR"</f>
        <v>181,00 EUR</v>
      </c>
    </row>
    <row r="556" spans="1:9" x14ac:dyDescent="0.25">
      <c r="A556" t="str">
        <f>"ZE62AC5566"</f>
        <v>ZE62AC5566</v>
      </c>
      <c r="B556" t="str">
        <f t="shared" si="126"/>
        <v>AC Ravenna - 00085710390</v>
      </c>
      <c r="C556" t="str">
        <f>"GASOLIO RISCALDAMENTO"</f>
        <v>GASOLIO RISCALDAMENTO</v>
      </c>
      <c r="D556" t="str">
        <f t="shared" si="131"/>
        <v>23-AFFIDAMENTO DIRETTO</v>
      </c>
      <c r="E556" t="str">
        <f>"ENI FUEL - 02701740108"</f>
        <v>ENI FUEL - 02701740108</v>
      </c>
      <c r="F556" t="str">
        <f>"ENI FUEL - 02701740108"</f>
        <v>ENI FUEL - 02701740108</v>
      </c>
      <c r="G556" t="str">
        <f>"1.790,00 EUR"</f>
        <v>1.790,00 EUR</v>
      </c>
      <c r="H556" t="str">
        <f>"21/11/2019 - 30/11/2019"</f>
        <v>21/11/2019 - 30/11/2019</v>
      </c>
      <c r="I556" t="str">
        <f>"1.790,00 EUR"</f>
        <v>1.790,00 EUR</v>
      </c>
    </row>
    <row r="557" spans="1:9" x14ac:dyDescent="0.25">
      <c r="A557" t="str">
        <f>"Z4D2AB9626"</f>
        <v>Z4D2AB9626</v>
      </c>
      <c r="B557" t="str">
        <f t="shared" si="126"/>
        <v>AC Ravenna - 00085710390</v>
      </c>
      <c r="C557" t="str">
        <f>"RINNOVO ANTIVIRUS"</f>
        <v>RINNOVO ANTIVIRUS</v>
      </c>
      <c r="D557" t="str">
        <f t="shared" si="131"/>
        <v>23-AFFIDAMENTO DIRETTO</v>
      </c>
      <c r="E557" t="str">
        <f>"IMPRESOFT S.R.L. - 03186830240"</f>
        <v>IMPRESOFT S.R.L. - 03186830240</v>
      </c>
      <c r="F557" t="str">
        <f>"IMPRESOFT S.R.L. - 03186830240"</f>
        <v>IMPRESOFT S.R.L. - 03186830240</v>
      </c>
      <c r="G557" t="str">
        <f>"176,00 EUR"</f>
        <v>176,00 EUR</v>
      </c>
      <c r="H557" t="str">
        <f>"19/11/2019 - 30/11/2019"</f>
        <v>19/11/2019 - 30/11/2019</v>
      </c>
      <c r="I557" t="str">
        <f>"176,00 EUR"</f>
        <v>176,00 EUR</v>
      </c>
    </row>
    <row r="558" spans="1:9" x14ac:dyDescent="0.25">
      <c r="A558" t="str">
        <f>"ZCF2AB90FD"</f>
        <v>ZCF2AB90FD</v>
      </c>
      <c r="B558" t="str">
        <f t="shared" si="126"/>
        <v>AC Ravenna - 00085710390</v>
      </c>
      <c r="C558" t="str">
        <f>"ASSISTENZA OROLOGIO MARCATEMPO"</f>
        <v>ASSISTENZA OROLOGIO MARCATEMPO</v>
      </c>
      <c r="D558" t="str">
        <f t="shared" si="131"/>
        <v>23-AFFIDAMENTO DIRETTO</v>
      </c>
      <c r="E558" t="str">
        <f>"ELCO SISTEMI SRL - 03246960409"</f>
        <v>ELCO SISTEMI SRL - 03246960409</v>
      </c>
      <c r="F558" t="str">
        <f>"ELCO SISTEMI SRL - 03246960409"</f>
        <v>ELCO SISTEMI SRL - 03246960409</v>
      </c>
      <c r="G558" t="str">
        <f>"18,00 EUR"</f>
        <v>18,00 EUR</v>
      </c>
      <c r="H558" t="str">
        <f>"19/11/2019 - 30/11/2019"</f>
        <v>19/11/2019 - 30/11/2019</v>
      </c>
      <c r="I558" t="str">
        <f>"18,00 EUR"</f>
        <v>18,00 EUR</v>
      </c>
    </row>
    <row r="559" spans="1:9" x14ac:dyDescent="0.25">
      <c r="A559" t="str">
        <f>"Z6A2AB9138"</f>
        <v>Z6A2AB9138</v>
      </c>
      <c r="B559" t="str">
        <f t="shared" si="126"/>
        <v>AC Ravenna - 00085710390</v>
      </c>
      <c r="C559" t="str">
        <f>"TARGA ORARIO"</f>
        <v>TARGA ORARIO</v>
      </c>
      <c r="D559" t="str">
        <f t="shared" si="131"/>
        <v>23-AFFIDAMENTO DIRETTO</v>
      </c>
      <c r="E559" t="str">
        <f>"STUDIO T SRL - 00387880396"</f>
        <v>STUDIO T SRL - 00387880396</v>
      </c>
      <c r="F559" t="str">
        <f>"STUDIO T SRL - 00387880396"</f>
        <v>STUDIO T SRL - 00387880396</v>
      </c>
      <c r="G559" t="str">
        <f>"55,00 EUR"</f>
        <v>55,00 EUR</v>
      </c>
      <c r="H559" t="str">
        <f>"19/11/2019 - 30/11/2019"</f>
        <v>19/11/2019 - 30/11/2019</v>
      </c>
      <c r="I559" t="str">
        <f>"55,00 EUR"</f>
        <v>55,00 EUR</v>
      </c>
    </row>
    <row r="560" spans="1:9" x14ac:dyDescent="0.25">
      <c r="A560" t="str">
        <f>"Z8A2A9BC5B"</f>
        <v>Z8A2A9BC5B</v>
      </c>
      <c r="B560" t="str">
        <f t="shared" si="126"/>
        <v>AC Ravenna - 00085710390</v>
      </c>
      <c r="C560" t="str">
        <f>"SERVIZI DI PULIZIA"</f>
        <v>SERVIZI DI PULIZIA</v>
      </c>
      <c r="D560" t="str">
        <f t="shared" si="131"/>
        <v>23-AFFIDAMENTO DIRETTO</v>
      </c>
      <c r="E560" t="str">
        <f>"CENTRO IGIENE S.r.l. - 02368400392"</f>
        <v>CENTRO IGIENE S.r.l. - 02368400392</v>
      </c>
      <c r="F560" t="str">
        <f>"CENTRO IGIENE S.r.l. - 02368400392"</f>
        <v>CENTRO IGIENE S.r.l. - 02368400392</v>
      </c>
      <c r="G560" t="str">
        <f>"37.603,00 EUR"</f>
        <v>37.603,00 EUR</v>
      </c>
      <c r="H560" t="str">
        <f>"12/11/2019 - 30/11/2021"</f>
        <v>12/11/2019 - 30/11/2021</v>
      </c>
      <c r="I560" t="str">
        <f>"0,00 EUR"</f>
        <v>0,00 EUR</v>
      </c>
    </row>
    <row r="561" spans="1:9" x14ac:dyDescent="0.25">
      <c r="A561" t="str">
        <f>"Z892A8F8F9"</f>
        <v>Z892A8F8F9</v>
      </c>
      <c r="B561" t="str">
        <f t="shared" si="126"/>
        <v>AC Ravenna - 00085710390</v>
      </c>
      <c r="C561" t="str">
        <f>"ASSISTENZA SOFTWARE"</f>
        <v>ASSISTENZA SOFTWARE</v>
      </c>
      <c r="D561" t="str">
        <f t="shared" si="131"/>
        <v>23-AFFIDAMENTO DIRETTO</v>
      </c>
      <c r="E561" t="str">
        <f>"IMPRESOFT S.R.L. - 03186830240"</f>
        <v>IMPRESOFT S.R.L. - 03186830240</v>
      </c>
      <c r="F561" t="str">
        <f>"IMPRESOFT S.R.L. - 03186830240"</f>
        <v>IMPRESOFT S.R.L. - 03186830240</v>
      </c>
      <c r="G561" t="str">
        <f>"120,00 EUR"</f>
        <v>120,00 EUR</v>
      </c>
      <c r="H561" t="str">
        <f>"09/11/2019 - 20/11/2019"</f>
        <v>09/11/2019 - 20/11/2019</v>
      </c>
      <c r="I561" t="str">
        <f>"120,00 EUR"</f>
        <v>120,00 EUR</v>
      </c>
    </row>
    <row r="562" spans="1:9" x14ac:dyDescent="0.25">
      <c r="A562" t="str">
        <f>"Z352A78A30"</f>
        <v>Z352A78A30</v>
      </c>
      <c r="B562" t="str">
        <f t="shared" si="126"/>
        <v>AC Ravenna - 00085710390</v>
      </c>
      <c r="C562" t="str">
        <f>"SERVIZIO RECAPITO PATENTI"</f>
        <v>SERVIZIO RECAPITO PATENTI</v>
      </c>
      <c r="D562" t="str">
        <f t="shared" si="131"/>
        <v>23-AFFIDAMENTO DIRETTO</v>
      </c>
      <c r="E562" t="str">
        <f t="shared" ref="E562:F564" si="138">"FUTURFIL SRL - 02471780391"</f>
        <v>FUTURFIL SRL - 02471780391</v>
      </c>
      <c r="F562" t="str">
        <f t="shared" si="138"/>
        <v>FUTURFIL SRL - 02471780391</v>
      </c>
      <c r="G562" t="str">
        <f>"300,00 EUR"</f>
        <v>300,00 EUR</v>
      </c>
      <c r="H562" t="str">
        <f>"04/11/2019 - 10/12/2019"</f>
        <v>04/11/2019 - 10/12/2019</v>
      </c>
      <c r="I562" t="str">
        <f>"300,00 EUR"</f>
        <v>300,00 EUR</v>
      </c>
    </row>
    <row r="563" spans="1:9" x14ac:dyDescent="0.25">
      <c r="A563" t="str">
        <f>"Z472A78A23"</f>
        <v>Z472A78A23</v>
      </c>
      <c r="B563" t="str">
        <f t="shared" si="126"/>
        <v>AC Ravenna - 00085710390</v>
      </c>
      <c r="C563" t="str">
        <f>"SERVIZIO RECAPITO SOCI"</f>
        <v>SERVIZIO RECAPITO SOCI</v>
      </c>
      <c r="D563" t="str">
        <f t="shared" si="131"/>
        <v>23-AFFIDAMENTO DIRETTO</v>
      </c>
      <c r="E563" t="str">
        <f t="shared" si="138"/>
        <v>FUTURFIL SRL - 02471780391</v>
      </c>
      <c r="F563" t="str">
        <f t="shared" si="138"/>
        <v>FUTURFIL SRL - 02471780391</v>
      </c>
      <c r="G563" t="str">
        <f>"99,00 EUR"</f>
        <v>99,00 EUR</v>
      </c>
      <c r="H563" t="str">
        <f>"04/11/2019 - 10/12/2019"</f>
        <v>04/11/2019 - 10/12/2019</v>
      </c>
      <c r="I563" t="str">
        <f>"99,00 EUR"</f>
        <v>99,00 EUR</v>
      </c>
    </row>
    <row r="564" spans="1:9" x14ac:dyDescent="0.25">
      <c r="A564" t="str">
        <f>"Z592A78A16"</f>
        <v>Z592A78A16</v>
      </c>
      <c r="B564" t="str">
        <f t="shared" si="126"/>
        <v>AC Ravenna - 00085710390</v>
      </c>
      <c r="C564" t="str">
        <f>"SERVIZIO RECAPITO BOLSE"</f>
        <v>SERVIZIO RECAPITO BOLSE</v>
      </c>
      <c r="D564" t="str">
        <f t="shared" si="131"/>
        <v>23-AFFIDAMENTO DIRETTO</v>
      </c>
      <c r="E564" t="str">
        <f t="shared" si="138"/>
        <v>FUTURFIL SRL - 02471780391</v>
      </c>
      <c r="F564" t="str">
        <f t="shared" si="138"/>
        <v>FUTURFIL SRL - 02471780391</v>
      </c>
      <c r="G564" t="str">
        <f>"820,00 EUR"</f>
        <v>820,00 EUR</v>
      </c>
      <c r="H564" t="str">
        <f>"04/11/2019 - 10/12/2019"</f>
        <v>04/11/2019 - 10/12/2019</v>
      </c>
      <c r="I564" t="str">
        <f>"820,00 EUR"</f>
        <v>820,00 EUR</v>
      </c>
    </row>
    <row r="565" spans="1:9" x14ac:dyDescent="0.25">
      <c r="A565" t="str">
        <f>"Z602A54B75"</f>
        <v>Z602A54B75</v>
      </c>
      <c r="B565" t="str">
        <f t="shared" si="126"/>
        <v>AC Ravenna - 00085710390</v>
      </c>
      <c r="C565" t="str">
        <f>"ELAB BOLSE"</f>
        <v>ELAB BOLSE</v>
      </c>
      <c r="D565" t="str">
        <f t="shared" si="131"/>
        <v>23-AFFIDAMENTO DIRETTO</v>
      </c>
      <c r="E565" t="str">
        <f t="shared" ref="E565:F567" si="139">"GAMMA INDIRIZZI SRL - 01048250391"</f>
        <v>GAMMA INDIRIZZI SRL - 01048250391</v>
      </c>
      <c r="F565" t="str">
        <f t="shared" si="139"/>
        <v>GAMMA INDIRIZZI SRL - 01048250391</v>
      </c>
      <c r="G565" t="str">
        <f>"553,00 EUR"</f>
        <v>553,00 EUR</v>
      </c>
      <c r="H565" t="str">
        <f>"24/10/2019 - 10/11/2019"</f>
        <v>24/10/2019 - 10/11/2019</v>
      </c>
      <c r="I565" t="str">
        <f>"553,00 EUR"</f>
        <v>553,00 EUR</v>
      </c>
    </row>
    <row r="566" spans="1:9" x14ac:dyDescent="0.25">
      <c r="A566" t="str">
        <f>"ZD62A54BE3"</f>
        <v>ZD62A54BE3</v>
      </c>
      <c r="B566" t="str">
        <f t="shared" si="126"/>
        <v>AC Ravenna - 00085710390</v>
      </c>
      <c r="C566" t="str">
        <f>"SERVIZIO ELAB SOCI"</f>
        <v>SERVIZIO ELAB SOCI</v>
      </c>
      <c r="D566" t="str">
        <f t="shared" si="131"/>
        <v>23-AFFIDAMENTO DIRETTO</v>
      </c>
      <c r="E566" t="str">
        <f t="shared" si="139"/>
        <v>GAMMA INDIRIZZI SRL - 01048250391</v>
      </c>
      <c r="F566" t="str">
        <f t="shared" si="139"/>
        <v>GAMMA INDIRIZZI SRL - 01048250391</v>
      </c>
      <c r="G566" t="str">
        <f>"100,00 EUR"</f>
        <v>100,00 EUR</v>
      </c>
      <c r="H566" t="str">
        <f>"24/10/2019 - 10/11/2019"</f>
        <v>24/10/2019 - 10/11/2019</v>
      </c>
      <c r="I566" t="str">
        <f>"100,00 EUR"</f>
        <v>100,00 EUR</v>
      </c>
    </row>
    <row r="567" spans="1:9" x14ac:dyDescent="0.25">
      <c r="A567" t="str">
        <f>"ZAB2A54C10"</f>
        <v>ZAB2A54C10</v>
      </c>
      <c r="B567" t="str">
        <f t="shared" si="126"/>
        <v>AC Ravenna - 00085710390</v>
      </c>
      <c r="C567" t="str">
        <f>"SERVIZIO ELAB. PATENTI"</f>
        <v>SERVIZIO ELAB. PATENTI</v>
      </c>
      <c r="D567" t="str">
        <f t="shared" si="131"/>
        <v>23-AFFIDAMENTO DIRETTO</v>
      </c>
      <c r="E567" t="str">
        <f t="shared" si="139"/>
        <v>GAMMA INDIRIZZI SRL - 01048250391</v>
      </c>
      <c r="F567" t="str">
        <f t="shared" si="139"/>
        <v>GAMMA INDIRIZZI SRL - 01048250391</v>
      </c>
      <c r="G567" t="str">
        <f>"77,00 EUR"</f>
        <v>77,00 EUR</v>
      </c>
      <c r="H567" t="str">
        <f>"24/10/2019 - 10/11/2019"</f>
        <v>24/10/2019 - 10/11/2019</v>
      </c>
      <c r="I567" t="str">
        <f>"77,00 EUR"</f>
        <v>77,00 EUR</v>
      </c>
    </row>
    <row r="568" spans="1:9" x14ac:dyDescent="0.25">
      <c r="A568" t="str">
        <f>"ZBF2A3BC85"</f>
        <v>ZBF2A3BC85</v>
      </c>
      <c r="B568" t="str">
        <f t="shared" ref="B568:B599" si="140">"AC Ravenna - 00085710390"</f>
        <v>AC Ravenna - 00085710390</v>
      </c>
      <c r="C568" t="str">
        <f>"MANUTENZIONE CALDAIA"</f>
        <v>MANUTENZIONE CALDAIA</v>
      </c>
      <c r="D568" t="str">
        <f t="shared" si="131"/>
        <v>23-AFFIDAMENTO DIRETTO</v>
      </c>
      <c r="E568" t="str">
        <f>"MONI SERGIO SRL - 01374350393"</f>
        <v>MONI SERGIO SRL - 01374350393</v>
      </c>
      <c r="F568" t="str">
        <f>"MONI SERGIO SRL - 01374350393"</f>
        <v>MONI SERGIO SRL - 01374350393</v>
      </c>
      <c r="G568" t="str">
        <f>"556,00 EUR"</f>
        <v>556,00 EUR</v>
      </c>
      <c r="H568" t="str">
        <f>"17/10/2019 - 31/10/2019"</f>
        <v>17/10/2019 - 31/10/2019</v>
      </c>
      <c r="I568" t="str">
        <f>"556,00 EUR"</f>
        <v>556,00 EUR</v>
      </c>
    </row>
    <row r="569" spans="1:9" x14ac:dyDescent="0.25">
      <c r="A569" t="str">
        <f>"ZE72A0F0C6"</f>
        <v>ZE72A0F0C6</v>
      </c>
      <c r="B569" t="str">
        <f t="shared" si="140"/>
        <v>AC Ravenna - 00085710390</v>
      </c>
      <c r="C569" t="str">
        <f>"ABBONAMENTO PUBBLICAZIONE 2020"</f>
        <v>ABBONAMENTO PUBBLICAZIONE 2020</v>
      </c>
      <c r="D569" t="str">
        <f t="shared" si="131"/>
        <v>23-AFFIDAMENTO DIRETTO</v>
      </c>
      <c r="E569" t="str">
        <f>"EGAF EDIZIONI SRL - 02259990402"</f>
        <v>EGAF EDIZIONI SRL - 02259990402</v>
      </c>
      <c r="F569" t="str">
        <f>"EGAF EDIZIONI SRL - 02259990402"</f>
        <v>EGAF EDIZIONI SRL - 02259990402</v>
      </c>
      <c r="G569" t="str">
        <f>"206,00 EUR"</f>
        <v>206,00 EUR</v>
      </c>
      <c r="H569" t="str">
        <f>"07/10/2019 - 31/12/2019"</f>
        <v>07/10/2019 - 31/12/2019</v>
      </c>
      <c r="I569" t="str">
        <f>"206,00 EUR"</f>
        <v>206,00 EUR</v>
      </c>
    </row>
    <row r="570" spans="1:9" x14ac:dyDescent="0.25">
      <c r="A570" t="str">
        <f>"ZAD2A0B9EC"</f>
        <v>ZAD2A0B9EC</v>
      </c>
      <c r="B570" t="str">
        <f t="shared" si="140"/>
        <v>AC Ravenna - 00085710390</v>
      </c>
      <c r="C570" t="str">
        <f>"RECAPITO BOLSE"</f>
        <v>RECAPITO BOLSE</v>
      </c>
      <c r="D570" t="str">
        <f t="shared" si="131"/>
        <v>23-AFFIDAMENTO DIRETTO</v>
      </c>
      <c r="E570" t="str">
        <f t="shared" ref="E570:F572" si="141">"FUTURFIL SRL - 02471780391"</f>
        <v>FUTURFIL SRL - 02471780391</v>
      </c>
      <c r="F570" t="str">
        <f t="shared" si="141"/>
        <v>FUTURFIL SRL - 02471780391</v>
      </c>
      <c r="G570" t="str">
        <f>"326,00 EUR"</f>
        <v>326,00 EUR</v>
      </c>
      <c r="H570" t="str">
        <f t="shared" ref="H570:H578" si="142">"05/10/2019 - 11/11/2019"</f>
        <v>05/10/2019 - 11/11/2019</v>
      </c>
      <c r="I570" t="str">
        <f>"326,00 EUR"</f>
        <v>326,00 EUR</v>
      </c>
    </row>
    <row r="571" spans="1:9" x14ac:dyDescent="0.25">
      <c r="A571" t="str">
        <f>"Z402A0B9F5"</f>
        <v>Z402A0B9F5</v>
      </c>
      <c r="B571" t="str">
        <f t="shared" si="140"/>
        <v>AC Ravenna - 00085710390</v>
      </c>
      <c r="C571" t="str">
        <f>"RECAPITO SOCI"</f>
        <v>RECAPITO SOCI</v>
      </c>
      <c r="D571" t="str">
        <f t="shared" si="131"/>
        <v>23-AFFIDAMENTO DIRETTO</v>
      </c>
      <c r="E571" t="str">
        <f t="shared" si="141"/>
        <v>FUTURFIL SRL - 02471780391</v>
      </c>
      <c r="F571" t="str">
        <f t="shared" si="141"/>
        <v>FUTURFIL SRL - 02471780391</v>
      </c>
      <c r="G571" t="str">
        <f>"133,00 EUR"</f>
        <v>133,00 EUR</v>
      </c>
      <c r="H571" t="str">
        <f t="shared" si="142"/>
        <v>05/10/2019 - 11/11/2019</v>
      </c>
      <c r="I571" t="str">
        <f>"133,00 EUR"</f>
        <v>133,00 EUR</v>
      </c>
    </row>
    <row r="572" spans="1:9" x14ac:dyDescent="0.25">
      <c r="A572" t="str">
        <f>"Z232A0B9FC"</f>
        <v>Z232A0B9FC</v>
      </c>
      <c r="B572" t="str">
        <f t="shared" si="140"/>
        <v>AC Ravenna - 00085710390</v>
      </c>
      <c r="C572" t="str">
        <f>"RECAPITO PATENTI"</f>
        <v>RECAPITO PATENTI</v>
      </c>
      <c r="D572" t="str">
        <f t="shared" si="131"/>
        <v>23-AFFIDAMENTO DIRETTO</v>
      </c>
      <c r="E572" t="str">
        <f t="shared" si="141"/>
        <v>FUTURFIL SRL - 02471780391</v>
      </c>
      <c r="F572" t="str">
        <f t="shared" si="141"/>
        <v>FUTURFIL SRL - 02471780391</v>
      </c>
      <c r="G572" t="str">
        <f>"313,00 EUR"</f>
        <v>313,00 EUR</v>
      </c>
      <c r="H572" t="str">
        <f t="shared" si="142"/>
        <v>05/10/2019 - 11/11/2019</v>
      </c>
      <c r="I572" t="str">
        <f>"313,00 EUR"</f>
        <v>313,00 EUR</v>
      </c>
    </row>
    <row r="573" spans="1:9" x14ac:dyDescent="0.25">
      <c r="A573" t="str">
        <f>"Z552A0B9BC"</f>
        <v>Z552A0B9BC</v>
      </c>
      <c r="B573" t="str">
        <f t="shared" si="140"/>
        <v>AC Ravenna - 00085710390</v>
      </c>
      <c r="C573" t="str">
        <f>"ELAB BOLSE"</f>
        <v>ELAB BOLSE</v>
      </c>
      <c r="D573" t="str">
        <f t="shared" si="131"/>
        <v>23-AFFIDAMENTO DIRETTO</v>
      </c>
      <c r="E573" t="str">
        <f t="shared" ref="E573:F575" si="143">"GAMMA INDIRIZZI SRL - 01048250391"</f>
        <v>GAMMA INDIRIZZI SRL - 01048250391</v>
      </c>
      <c r="F573" t="str">
        <f t="shared" si="143"/>
        <v>GAMMA INDIRIZZI SRL - 01048250391</v>
      </c>
      <c r="G573" t="str">
        <f>"238,00 EUR"</f>
        <v>238,00 EUR</v>
      </c>
      <c r="H573" t="str">
        <f t="shared" si="142"/>
        <v>05/10/2019 - 11/11/2019</v>
      </c>
      <c r="I573" t="str">
        <f>"238,00 EUR"</f>
        <v>238,00 EUR</v>
      </c>
    </row>
    <row r="574" spans="1:9" x14ac:dyDescent="0.25">
      <c r="A574" t="str">
        <f>"A052A0B9BE"</f>
        <v>A052A0B9BE</v>
      </c>
      <c r="B574" t="str">
        <f t="shared" si="140"/>
        <v>AC Ravenna - 00085710390</v>
      </c>
      <c r="C574" t="str">
        <f>"ELAB SOCI"</f>
        <v>ELAB SOCI</v>
      </c>
      <c r="D574" t="str">
        <f t="shared" si="131"/>
        <v>23-AFFIDAMENTO DIRETTO</v>
      </c>
      <c r="E574" t="str">
        <f t="shared" si="143"/>
        <v>GAMMA INDIRIZZI SRL - 01048250391</v>
      </c>
      <c r="F574" t="str">
        <f t="shared" si="143"/>
        <v>GAMMA INDIRIZZI SRL - 01048250391</v>
      </c>
      <c r="G574" t="str">
        <f>"108,00 EUR"</f>
        <v>108,00 EUR</v>
      </c>
      <c r="H574" t="str">
        <f t="shared" si="142"/>
        <v>05/10/2019 - 11/11/2019</v>
      </c>
      <c r="I574" t="str">
        <f>"108,00 EUR"</f>
        <v>108,00 EUR</v>
      </c>
    </row>
    <row r="575" spans="1:9" x14ac:dyDescent="0.25">
      <c r="A575" t="str">
        <f>"Z932A0B9C7"</f>
        <v>Z932A0B9C7</v>
      </c>
      <c r="B575" t="str">
        <f t="shared" si="140"/>
        <v>AC Ravenna - 00085710390</v>
      </c>
      <c r="C575" t="str">
        <f>"ELAB PATENTI"</f>
        <v>ELAB PATENTI</v>
      </c>
      <c r="D575" t="str">
        <f t="shared" si="131"/>
        <v>23-AFFIDAMENTO DIRETTO</v>
      </c>
      <c r="E575" t="str">
        <f t="shared" si="143"/>
        <v>GAMMA INDIRIZZI SRL - 01048250391</v>
      </c>
      <c r="F575" t="str">
        <f t="shared" si="143"/>
        <v>GAMMA INDIRIZZI SRL - 01048250391</v>
      </c>
      <c r="G575" t="str">
        <f>"300,00 EUR"</f>
        <v>300,00 EUR</v>
      </c>
      <c r="H575" t="str">
        <f t="shared" si="142"/>
        <v>05/10/2019 - 11/11/2019</v>
      </c>
      <c r="I575" t="str">
        <f>"300,00 EUR"</f>
        <v>300,00 EUR</v>
      </c>
    </row>
    <row r="576" spans="1:9" x14ac:dyDescent="0.25">
      <c r="A576" t="str">
        <f>"Z6E2A0B99C"</f>
        <v>Z6E2A0B99C</v>
      </c>
      <c r="B576" t="str">
        <f t="shared" si="140"/>
        <v>AC Ravenna - 00085710390</v>
      </c>
      <c r="C576" t="str">
        <f>"RECAPITI BOLSE"</f>
        <v>RECAPITI BOLSE</v>
      </c>
      <c r="D576" t="str">
        <f t="shared" si="131"/>
        <v>23-AFFIDAMENTO DIRETTO</v>
      </c>
      <c r="E576" t="str">
        <f t="shared" ref="E576:F578" si="144">"FUTURFIL SRL - 02471780391"</f>
        <v>FUTURFIL SRL - 02471780391</v>
      </c>
      <c r="F576" t="str">
        <f t="shared" si="144"/>
        <v>FUTURFIL SRL - 02471780391</v>
      </c>
      <c r="G576" t="str">
        <f>"965,00 EUR"</f>
        <v>965,00 EUR</v>
      </c>
      <c r="H576" t="str">
        <f t="shared" si="142"/>
        <v>05/10/2019 - 11/11/2019</v>
      </c>
      <c r="I576" t="str">
        <f>"965,00 EUR"</f>
        <v>965,00 EUR</v>
      </c>
    </row>
    <row r="577" spans="1:9" x14ac:dyDescent="0.25">
      <c r="A577" t="str">
        <f>"Z792A0B9A2"</f>
        <v>Z792A0B9A2</v>
      </c>
      <c r="B577" t="str">
        <f t="shared" si="140"/>
        <v>AC Ravenna - 00085710390</v>
      </c>
      <c r="C577" t="str">
        <f>"RECAPITO SOCI"</f>
        <v>RECAPITO SOCI</v>
      </c>
      <c r="D577" t="str">
        <f t="shared" si="131"/>
        <v>23-AFFIDAMENTO DIRETTO</v>
      </c>
      <c r="E577" t="str">
        <f t="shared" si="144"/>
        <v>FUTURFIL SRL - 02471780391</v>
      </c>
      <c r="F577" t="str">
        <f t="shared" si="144"/>
        <v>FUTURFIL SRL - 02471780391</v>
      </c>
      <c r="G577" t="str">
        <f>"143,00 EUR"</f>
        <v>143,00 EUR</v>
      </c>
      <c r="H577" t="str">
        <f t="shared" si="142"/>
        <v>05/10/2019 - 11/11/2019</v>
      </c>
      <c r="I577" t="str">
        <f>"143,00 EUR"</f>
        <v>143,00 EUR</v>
      </c>
    </row>
    <row r="578" spans="1:9" x14ac:dyDescent="0.25">
      <c r="A578" t="str">
        <f>"Z342A0B9AA"</f>
        <v>Z342A0B9AA</v>
      </c>
      <c r="B578" t="str">
        <f t="shared" si="140"/>
        <v>AC Ravenna - 00085710390</v>
      </c>
      <c r="C578" t="str">
        <f>"RECAPITO PATENTI"</f>
        <v>RECAPITO PATENTI</v>
      </c>
      <c r="D578" t="str">
        <f t="shared" si="131"/>
        <v>23-AFFIDAMENTO DIRETTO</v>
      </c>
      <c r="E578" t="str">
        <f t="shared" si="144"/>
        <v>FUTURFIL SRL - 02471780391</v>
      </c>
      <c r="F578" t="str">
        <f t="shared" si="144"/>
        <v>FUTURFIL SRL - 02471780391</v>
      </c>
      <c r="G578" t="str">
        <f>"308,00 EUR"</f>
        <v>308,00 EUR</v>
      </c>
      <c r="H578" t="str">
        <f t="shared" si="142"/>
        <v>05/10/2019 - 11/11/2019</v>
      </c>
      <c r="I578" t="str">
        <f>"308,00 EUR"</f>
        <v>308,00 EUR</v>
      </c>
    </row>
    <row r="579" spans="1:9" x14ac:dyDescent="0.25">
      <c r="A579" t="str">
        <f>"Z172A09E3D"</f>
        <v>Z172A09E3D</v>
      </c>
      <c r="B579" t="str">
        <f t="shared" si="140"/>
        <v>AC Ravenna - 00085710390</v>
      </c>
      <c r="C579" t="str">
        <f>"ELAB PATENTI"</f>
        <v>ELAB PATENTI</v>
      </c>
      <c r="D579" t="str">
        <f t="shared" si="131"/>
        <v>23-AFFIDAMENTO DIRETTO</v>
      </c>
      <c r="E579" t="str">
        <f t="shared" ref="E579:F581" si="145">"GAMMA INDIRIZZI SRL - 01048250391"</f>
        <v>GAMMA INDIRIZZI SRL - 01048250391</v>
      </c>
      <c r="F579" t="str">
        <f t="shared" si="145"/>
        <v>GAMMA INDIRIZZI SRL - 01048250391</v>
      </c>
      <c r="G579" t="str">
        <f>"79,00 EUR"</f>
        <v>79,00 EUR</v>
      </c>
      <c r="H579" t="str">
        <f>"04/10/2019 - 11/11/2019"</f>
        <v>04/10/2019 - 11/11/2019</v>
      </c>
      <c r="I579" t="str">
        <f>"79,00 EUR"</f>
        <v>79,00 EUR</v>
      </c>
    </row>
    <row r="580" spans="1:9" x14ac:dyDescent="0.25">
      <c r="A580" t="str">
        <f>"ZCG2A09DD4"</f>
        <v>ZCG2A09DD4</v>
      </c>
      <c r="B580" t="str">
        <f t="shared" si="140"/>
        <v>AC Ravenna - 00085710390</v>
      </c>
      <c r="C580" t="str">
        <f>"ELAB SOCI"</f>
        <v>ELAB SOCI</v>
      </c>
      <c r="D580" t="str">
        <f t="shared" si="131"/>
        <v>23-AFFIDAMENTO DIRETTO</v>
      </c>
      <c r="E580" t="str">
        <f t="shared" si="145"/>
        <v>GAMMA INDIRIZZI SRL - 01048250391</v>
      </c>
      <c r="F580" t="str">
        <f t="shared" si="145"/>
        <v>GAMMA INDIRIZZI SRL - 01048250391</v>
      </c>
      <c r="G580" t="str">
        <f>"113,00 EUR"</f>
        <v>113,00 EUR</v>
      </c>
      <c r="H580" t="str">
        <f>"04/10/2019 - 11/11/2019"</f>
        <v>04/10/2019 - 11/11/2019</v>
      </c>
      <c r="I580" t="str">
        <f>"113,00 EUR"</f>
        <v>113,00 EUR</v>
      </c>
    </row>
    <row r="581" spans="1:9" x14ac:dyDescent="0.25">
      <c r="A581" t="str">
        <f>"ZE42A09D9B"</f>
        <v>ZE42A09D9B</v>
      </c>
      <c r="B581" t="str">
        <f t="shared" si="140"/>
        <v>AC Ravenna - 00085710390</v>
      </c>
      <c r="C581" t="str">
        <f>"ELAB BOLSE"</f>
        <v>ELAB BOLSE</v>
      </c>
      <c r="D581" t="str">
        <f t="shared" si="131"/>
        <v>23-AFFIDAMENTO DIRETTO</v>
      </c>
      <c r="E581" t="str">
        <f t="shared" si="145"/>
        <v>GAMMA INDIRIZZI SRL - 01048250391</v>
      </c>
      <c r="F581" t="str">
        <f t="shared" si="145"/>
        <v>GAMMA INDIRIZZI SRL - 01048250391</v>
      </c>
      <c r="G581" t="str">
        <f>"582,00 EUR"</f>
        <v>582,00 EUR</v>
      </c>
      <c r="H581" t="str">
        <f>"04/10/2019 - 10/11/2019"</f>
        <v>04/10/2019 - 10/11/2019</v>
      </c>
      <c r="I581" t="str">
        <f>"582,00 EUR"</f>
        <v>582,00 EUR</v>
      </c>
    </row>
    <row r="582" spans="1:9" x14ac:dyDescent="0.25">
      <c r="A582" t="str">
        <f>"ZD82A03D3A"</f>
        <v>ZD82A03D3A</v>
      </c>
      <c r="B582" t="str">
        <f t="shared" si="140"/>
        <v>AC Ravenna - 00085710390</v>
      </c>
      <c r="C582" t="str">
        <f>"CANONE MANUTENZIONE SITO"</f>
        <v>CANONE MANUTENZIONE SITO</v>
      </c>
      <c r="D582" t="str">
        <f t="shared" si="131"/>
        <v>23-AFFIDAMENTO DIRETTO</v>
      </c>
      <c r="E582" t="str">
        <f>"SIMATICA SRL - 02070730391"</f>
        <v>SIMATICA SRL - 02070730391</v>
      </c>
      <c r="F582" t="str">
        <f>"SIMATICA SRL - 02070730391"</f>
        <v>SIMATICA SRL - 02070730391</v>
      </c>
      <c r="G582" t="str">
        <f>"400,00 EUR"</f>
        <v>400,00 EUR</v>
      </c>
      <c r="H582" t="str">
        <f>"02/10/2019 - 31/12/2019"</f>
        <v>02/10/2019 - 31/12/2019</v>
      </c>
      <c r="I582" t="str">
        <f>"400,00 EUR"</f>
        <v>400,00 EUR</v>
      </c>
    </row>
    <row r="583" spans="1:9" x14ac:dyDescent="0.25">
      <c r="A583" t="str">
        <f>"ZB429C70B4"</f>
        <v>ZB429C70B4</v>
      </c>
      <c r="B583" t="str">
        <f t="shared" si="140"/>
        <v>AC Ravenna - 00085710390</v>
      </c>
      <c r="C583" t="str">
        <f>"MANUTENZIONE STRAORDINARIA CONDIZIONATORE"</f>
        <v>MANUTENZIONE STRAORDINARIA CONDIZIONATORE</v>
      </c>
      <c r="D583" t="str">
        <f t="shared" si="131"/>
        <v>23-AFFIDAMENTO DIRETTO</v>
      </c>
      <c r="E583" t="str">
        <f>"NUOVA FRANCESCONI - 00455740399"</f>
        <v>NUOVA FRANCESCONI - 00455740399</v>
      </c>
      <c r="F583" t="str">
        <f>"NUOVA FRANCESCONI - 00455740399"</f>
        <v>NUOVA FRANCESCONI - 00455740399</v>
      </c>
      <c r="G583" t="str">
        <f>"45,00 EUR"</f>
        <v>45,00 EUR</v>
      </c>
      <c r="H583" t="str">
        <f>"16/09/2019 - 16/10/2019"</f>
        <v>16/09/2019 - 16/10/2019</v>
      </c>
      <c r="I583" t="str">
        <f>"45,00 EUR"</f>
        <v>45,00 EUR</v>
      </c>
    </row>
    <row r="584" spans="1:9" x14ac:dyDescent="0.25">
      <c r="A584" t="str">
        <f>"Z892991DD5"</f>
        <v>Z892991DD5</v>
      </c>
      <c r="B584" t="str">
        <f t="shared" si="140"/>
        <v>AC Ravenna - 00085710390</v>
      </c>
      <c r="C584" t="str">
        <f>"SPESE RIUNIONE DELEGATI"</f>
        <v>SPESE RIUNIONE DELEGATI</v>
      </c>
      <c r="D584" t="str">
        <f t="shared" si="131"/>
        <v>23-AFFIDAMENTO DIRETTO</v>
      </c>
      <c r="E584" t="str">
        <f>"DELITIA SRL - 02554030391"</f>
        <v>DELITIA SRL - 02554030391</v>
      </c>
      <c r="F584" t="str">
        <f>"DELITIA SRL - 02554030391"</f>
        <v>DELITIA SRL - 02554030391</v>
      </c>
      <c r="G584" t="str">
        <f>"266,00 EUR"</f>
        <v>266,00 EUR</v>
      </c>
      <c r="H584" t="str">
        <f t="shared" ref="H584:H591" si="146">"27/08/2019 - 27/09/2019"</f>
        <v>27/08/2019 - 27/09/2019</v>
      </c>
      <c r="I584" t="str">
        <f>"266,00 EUR"</f>
        <v>266,00 EUR</v>
      </c>
    </row>
    <row r="585" spans="1:9" x14ac:dyDescent="0.25">
      <c r="A585" t="str">
        <f>"ZA52991D89"</f>
        <v>ZA52991D89</v>
      </c>
      <c r="B585" t="str">
        <f t="shared" si="140"/>
        <v>AC Ravenna - 00085710390</v>
      </c>
      <c r="C585" t="str">
        <f>"SPEDIZIONE PATENTI"</f>
        <v>SPEDIZIONE PATENTI</v>
      </c>
      <c r="D585" t="str">
        <f t="shared" si="131"/>
        <v>23-AFFIDAMENTO DIRETTO</v>
      </c>
      <c r="E585" t="str">
        <f t="shared" ref="E585:F587" si="147">"FUTURFIL SRL - 02471780391"</f>
        <v>FUTURFIL SRL - 02471780391</v>
      </c>
      <c r="F585" t="str">
        <f t="shared" si="147"/>
        <v>FUTURFIL SRL - 02471780391</v>
      </c>
      <c r="G585" t="str">
        <f>"308,00 EUR"</f>
        <v>308,00 EUR</v>
      </c>
      <c r="H585" t="str">
        <f t="shared" si="146"/>
        <v>27/08/2019 - 27/09/2019</v>
      </c>
      <c r="I585" t="str">
        <f>"308,00 EUR"</f>
        <v>308,00 EUR</v>
      </c>
    </row>
    <row r="586" spans="1:9" x14ac:dyDescent="0.25">
      <c r="A586" t="str">
        <f>"Z9A2991D83"</f>
        <v>Z9A2991D83</v>
      </c>
      <c r="B586" t="str">
        <f t="shared" si="140"/>
        <v>AC Ravenna - 00085710390</v>
      </c>
      <c r="C586" t="str">
        <f>"SPEDIZIONE SOCI"</f>
        <v>SPEDIZIONE SOCI</v>
      </c>
      <c r="D586" t="str">
        <f t="shared" si="131"/>
        <v>23-AFFIDAMENTO DIRETTO</v>
      </c>
      <c r="E586" t="str">
        <f t="shared" si="147"/>
        <v>FUTURFIL SRL - 02471780391</v>
      </c>
      <c r="F586" t="str">
        <f t="shared" si="147"/>
        <v>FUTURFIL SRL - 02471780391</v>
      </c>
      <c r="G586" t="str">
        <f>"143,00 EUR"</f>
        <v>143,00 EUR</v>
      </c>
      <c r="H586" t="str">
        <f t="shared" si="146"/>
        <v>27/08/2019 - 27/09/2019</v>
      </c>
      <c r="I586" t="str">
        <f>"143,00 EUR"</f>
        <v>143,00 EUR</v>
      </c>
    </row>
    <row r="587" spans="1:9" x14ac:dyDescent="0.25">
      <c r="A587" t="str">
        <f>"ZAC2991D76"</f>
        <v>ZAC2991D76</v>
      </c>
      <c r="B587" t="str">
        <f t="shared" si="140"/>
        <v>AC Ravenna - 00085710390</v>
      </c>
      <c r="C587" t="str">
        <f>"SPEDIZIONE BOLSE"</f>
        <v>SPEDIZIONE BOLSE</v>
      </c>
      <c r="D587" t="str">
        <f t="shared" si="131"/>
        <v>23-AFFIDAMENTO DIRETTO</v>
      </c>
      <c r="E587" t="str">
        <f t="shared" si="147"/>
        <v>FUTURFIL SRL - 02471780391</v>
      </c>
      <c r="F587" t="str">
        <f t="shared" si="147"/>
        <v>FUTURFIL SRL - 02471780391</v>
      </c>
      <c r="G587" t="str">
        <f>"865,00 EUR"</f>
        <v>865,00 EUR</v>
      </c>
      <c r="H587" t="str">
        <f t="shared" si="146"/>
        <v>27/08/2019 - 27/09/2019</v>
      </c>
      <c r="I587" t="str">
        <f>"865,00 EUR"</f>
        <v>865,00 EUR</v>
      </c>
    </row>
    <row r="588" spans="1:9" x14ac:dyDescent="0.25">
      <c r="A588" t="str">
        <f>"ZC12991C42"</f>
        <v>ZC12991C42</v>
      </c>
      <c r="B588" t="str">
        <f t="shared" si="140"/>
        <v>AC Ravenna - 00085710390</v>
      </c>
      <c r="C588" t="str">
        <f>"SERVIZIO ELAB PATENTI"</f>
        <v>SERVIZIO ELAB PATENTI</v>
      </c>
      <c r="D588" t="str">
        <f t="shared" si="131"/>
        <v>23-AFFIDAMENTO DIRETTO</v>
      </c>
      <c r="E588" t="str">
        <f t="shared" ref="E588:F590" si="148">"GAMMA INDIRIZZI SRL - 01048250391"</f>
        <v>GAMMA INDIRIZZI SRL - 01048250391</v>
      </c>
      <c r="F588" t="str">
        <f t="shared" si="148"/>
        <v>GAMMA INDIRIZZI SRL - 01048250391</v>
      </c>
      <c r="G588" t="str">
        <f>"79,00 EUR"</f>
        <v>79,00 EUR</v>
      </c>
      <c r="H588" t="str">
        <f t="shared" si="146"/>
        <v>27/08/2019 - 27/09/2019</v>
      </c>
      <c r="I588" t="str">
        <f>"79,00 EUR"</f>
        <v>79,00 EUR</v>
      </c>
    </row>
    <row r="589" spans="1:9" x14ac:dyDescent="0.25">
      <c r="A589" t="str">
        <f>"Z3A2991C26"</f>
        <v>Z3A2991C26</v>
      </c>
      <c r="B589" t="str">
        <f t="shared" si="140"/>
        <v>AC Ravenna - 00085710390</v>
      </c>
      <c r="C589" t="str">
        <f>"SERVIZIO ELAB SOCI"</f>
        <v>SERVIZIO ELAB SOCI</v>
      </c>
      <c r="D589" t="str">
        <f t="shared" si="131"/>
        <v>23-AFFIDAMENTO DIRETTO</v>
      </c>
      <c r="E589" t="str">
        <f t="shared" si="148"/>
        <v>GAMMA INDIRIZZI SRL - 01048250391</v>
      </c>
      <c r="F589" t="str">
        <f t="shared" si="148"/>
        <v>GAMMA INDIRIZZI SRL - 01048250391</v>
      </c>
      <c r="G589" t="str">
        <f>"113,00 EUR"</f>
        <v>113,00 EUR</v>
      </c>
      <c r="H589" t="str">
        <f t="shared" si="146"/>
        <v>27/08/2019 - 27/09/2019</v>
      </c>
      <c r="I589" t="str">
        <f>"113,00 EUR"</f>
        <v>113,00 EUR</v>
      </c>
    </row>
    <row r="590" spans="1:9" x14ac:dyDescent="0.25">
      <c r="A590" t="str">
        <f>"ZEC2991C15"</f>
        <v>ZEC2991C15</v>
      </c>
      <c r="B590" t="str">
        <f t="shared" si="140"/>
        <v>AC Ravenna - 00085710390</v>
      </c>
      <c r="C590" t="str">
        <f>"SERVIZIO ELAB BOLSE"</f>
        <v>SERVIZIO ELAB BOLSE</v>
      </c>
      <c r="D590" t="str">
        <f t="shared" si="131"/>
        <v>23-AFFIDAMENTO DIRETTO</v>
      </c>
      <c r="E590" t="str">
        <f t="shared" si="148"/>
        <v>GAMMA INDIRIZZI SRL - 01048250391</v>
      </c>
      <c r="F590" t="str">
        <f t="shared" si="148"/>
        <v>GAMMA INDIRIZZI SRL - 01048250391</v>
      </c>
      <c r="G590" t="str">
        <f>"582,00 EUR"</f>
        <v>582,00 EUR</v>
      </c>
      <c r="H590" t="str">
        <f t="shared" si="146"/>
        <v>27/08/2019 - 27/09/2019</v>
      </c>
      <c r="I590" t="str">
        <f>"582,00 EUR"</f>
        <v>582,00 EUR</v>
      </c>
    </row>
    <row r="591" spans="1:9" x14ac:dyDescent="0.25">
      <c r="A591" t="str">
        <f>"ZDC2991BB1"</f>
        <v>ZDC2991BB1</v>
      </c>
      <c r="B591" t="str">
        <f t="shared" si="140"/>
        <v>AC Ravenna - 00085710390</v>
      </c>
      <c r="C591" t="str">
        <f>"CONTROLLO PERIODICO ESTINTORE"</f>
        <v>CONTROLLO PERIODICO ESTINTORE</v>
      </c>
      <c r="D591" t="str">
        <f t="shared" si="131"/>
        <v>23-AFFIDAMENTO DIRETTO</v>
      </c>
      <c r="E591" t="str">
        <f>"NUOVA OLP IMPIANTI SRL - 01478520396"</f>
        <v>NUOVA OLP IMPIANTI SRL - 01478520396</v>
      </c>
      <c r="F591" t="str">
        <f>"NUOVA OLP IMPIANTI SRL - 01478520396"</f>
        <v>NUOVA OLP IMPIANTI SRL - 01478520396</v>
      </c>
      <c r="G591" t="str">
        <f>"74,00 EUR"</f>
        <v>74,00 EUR</v>
      </c>
      <c r="H591" t="str">
        <f t="shared" si="146"/>
        <v>27/08/2019 - 27/09/2019</v>
      </c>
      <c r="I591" t="str">
        <f>"74,00 EUR"</f>
        <v>74,00 EUR</v>
      </c>
    </row>
    <row r="592" spans="1:9" x14ac:dyDescent="0.25">
      <c r="A592" t="str">
        <f>"Z40297357E"</f>
        <v>Z40297357E</v>
      </c>
      <c r="B592" t="str">
        <f t="shared" si="140"/>
        <v>AC Ravenna - 00085710390</v>
      </c>
      <c r="C592" t="str">
        <f>"OMAGGIO SOCIALE"</f>
        <v>OMAGGIO SOCIALE</v>
      </c>
      <c r="D592" t="str">
        <f t="shared" si="131"/>
        <v>23-AFFIDAMENTO DIRETTO</v>
      </c>
      <c r="E592" t="str">
        <f>"ZOE ADV SRL - 02571140355"</f>
        <v>ZOE ADV SRL - 02571140355</v>
      </c>
      <c r="F592" t="str">
        <f>"ZOE ADV SRL - 02571140355"</f>
        <v>ZOE ADV SRL - 02571140355</v>
      </c>
      <c r="G592" t="str">
        <f>"13.740,00 EUR"</f>
        <v>13.740,00 EUR</v>
      </c>
      <c r="H592" t="str">
        <f>"07/08/2019 - 30/09/2019"</f>
        <v>07/08/2019 - 30/09/2019</v>
      </c>
      <c r="I592" t="str">
        <f>"13.740,00 EUR"</f>
        <v>13.740,00 EUR</v>
      </c>
    </row>
    <row r="593" spans="1:9" x14ac:dyDescent="0.25">
      <c r="A593" t="str">
        <f>"Z5629625F3"</f>
        <v>Z5629625F3</v>
      </c>
      <c r="B593" t="str">
        <f t="shared" si="140"/>
        <v>AC Ravenna - 00085710390</v>
      </c>
      <c r="C593" t="str">
        <f>"RECAPITO AVVISI PATENTI"</f>
        <v>RECAPITO AVVISI PATENTI</v>
      </c>
      <c r="D593" t="str">
        <f t="shared" si="131"/>
        <v>23-AFFIDAMENTO DIRETTO</v>
      </c>
      <c r="E593" t="str">
        <f t="shared" ref="E593:F595" si="149">"FUTURFIL SRL - 02471780391"</f>
        <v>FUTURFIL SRL - 02471780391</v>
      </c>
      <c r="F593" t="str">
        <f t="shared" si="149"/>
        <v>FUTURFIL SRL - 02471780391</v>
      </c>
      <c r="G593" t="str">
        <f>"280,00 EUR"</f>
        <v>280,00 EUR</v>
      </c>
      <c r="H593" t="str">
        <f t="shared" ref="H593:H598" si="150">"31/07/2019 - 10/08/2019"</f>
        <v>31/07/2019 - 10/08/2019</v>
      </c>
      <c r="I593" t="str">
        <f>"280,00 EUR"</f>
        <v>280,00 EUR</v>
      </c>
    </row>
    <row r="594" spans="1:9" x14ac:dyDescent="0.25">
      <c r="A594" t="str">
        <f>"Z1F29625D5"</f>
        <v>Z1F29625D5</v>
      </c>
      <c r="B594" t="str">
        <f t="shared" si="140"/>
        <v>AC Ravenna - 00085710390</v>
      </c>
      <c r="C594" t="str">
        <f>"RECAPITO AVVISI SOCI"</f>
        <v>RECAPITO AVVISI SOCI</v>
      </c>
      <c r="D594" t="str">
        <f t="shared" si="131"/>
        <v>23-AFFIDAMENTO DIRETTO</v>
      </c>
      <c r="E594" t="str">
        <f t="shared" si="149"/>
        <v>FUTURFIL SRL - 02471780391</v>
      </c>
      <c r="F594" t="str">
        <f t="shared" si="149"/>
        <v>FUTURFIL SRL - 02471780391</v>
      </c>
      <c r="G594" t="str">
        <f>"141,00 EUR"</f>
        <v>141,00 EUR</v>
      </c>
      <c r="H594" t="str">
        <f t="shared" si="150"/>
        <v>31/07/2019 - 10/08/2019</v>
      </c>
      <c r="I594" t="str">
        <f>"141,00 EUR"</f>
        <v>141,00 EUR</v>
      </c>
    </row>
    <row r="595" spans="1:9" x14ac:dyDescent="0.25">
      <c r="A595" t="str">
        <f>"ZCD29625AB"</f>
        <v>ZCD29625AB</v>
      </c>
      <c r="B595" t="str">
        <f t="shared" si="140"/>
        <v>AC Ravenna - 00085710390</v>
      </c>
      <c r="C595" t="str">
        <f>"RECAPITO AVVISI BOLSE"</f>
        <v>RECAPITO AVVISI BOLSE</v>
      </c>
      <c r="D595" t="str">
        <f t="shared" si="131"/>
        <v>23-AFFIDAMENTO DIRETTO</v>
      </c>
      <c r="E595" t="str">
        <f t="shared" si="149"/>
        <v>FUTURFIL SRL - 02471780391</v>
      </c>
      <c r="F595" t="str">
        <f t="shared" si="149"/>
        <v>FUTURFIL SRL - 02471780391</v>
      </c>
      <c r="G595" t="str">
        <f>"326,00 EUR"</f>
        <v>326,00 EUR</v>
      </c>
      <c r="H595" t="str">
        <f t="shared" si="150"/>
        <v>31/07/2019 - 10/08/2019</v>
      </c>
      <c r="I595" t="str">
        <f>"326,00 EUR"</f>
        <v>326,00 EUR</v>
      </c>
    </row>
    <row r="596" spans="1:9" x14ac:dyDescent="0.25">
      <c r="A596" t="str">
        <f>"ZA529624B1"</f>
        <v>ZA529624B1</v>
      </c>
      <c r="B596" t="str">
        <f t="shared" si="140"/>
        <v>AC Ravenna - 00085710390</v>
      </c>
      <c r="C596" t="str">
        <f>"SERVIZIO ELAB. PATENTI"</f>
        <v>SERVIZIO ELAB. PATENTI</v>
      </c>
      <c r="D596" t="str">
        <f t="shared" si="131"/>
        <v>23-AFFIDAMENTO DIRETTO</v>
      </c>
      <c r="E596" t="str">
        <f t="shared" ref="E596:F598" si="151">"GAMMA INDIRIZZI SRL - 01048250391"</f>
        <v>GAMMA INDIRIZZI SRL - 01048250391</v>
      </c>
      <c r="F596" t="str">
        <f t="shared" si="151"/>
        <v>GAMMA INDIRIZZI SRL - 01048250391</v>
      </c>
      <c r="G596" t="str">
        <f>"73,00 EUR"</f>
        <v>73,00 EUR</v>
      </c>
      <c r="H596" t="str">
        <f t="shared" si="150"/>
        <v>31/07/2019 - 10/08/2019</v>
      </c>
      <c r="I596" t="str">
        <f>"73,00 EUR"</f>
        <v>73,00 EUR</v>
      </c>
    </row>
    <row r="597" spans="1:9" x14ac:dyDescent="0.25">
      <c r="A597" t="str">
        <f>"Z4D2962481"</f>
        <v>Z4D2962481</v>
      </c>
      <c r="B597" t="str">
        <f t="shared" si="140"/>
        <v>AC Ravenna - 00085710390</v>
      </c>
      <c r="C597" t="str">
        <f>"SERVIZIO ELAB SOCI"</f>
        <v>SERVIZIO ELAB SOCI</v>
      </c>
      <c r="D597" t="str">
        <f t="shared" si="131"/>
        <v>23-AFFIDAMENTO DIRETTO</v>
      </c>
      <c r="E597" t="str">
        <f t="shared" si="151"/>
        <v>GAMMA INDIRIZZI SRL - 01048250391</v>
      </c>
      <c r="F597" t="str">
        <f t="shared" si="151"/>
        <v>GAMMA INDIRIZZI SRL - 01048250391</v>
      </c>
      <c r="G597" t="str">
        <f>"107,00 EUR"</f>
        <v>107,00 EUR</v>
      </c>
      <c r="H597" t="str">
        <f t="shared" si="150"/>
        <v>31/07/2019 - 10/08/2019</v>
      </c>
      <c r="I597" t="str">
        <f>"107,00 EUR"</f>
        <v>107,00 EUR</v>
      </c>
    </row>
    <row r="598" spans="1:9" x14ac:dyDescent="0.25">
      <c r="A598" t="str">
        <f>"ZBD296244C"</f>
        <v>ZBD296244C</v>
      </c>
      <c r="B598" t="str">
        <f t="shared" si="140"/>
        <v>AC Ravenna - 00085710390</v>
      </c>
      <c r="C598" t="str">
        <f>"SERVIZIO ELAB BOLSE"</f>
        <v>SERVIZIO ELAB BOLSE</v>
      </c>
      <c r="D598" t="str">
        <f t="shared" si="131"/>
        <v>23-AFFIDAMENTO DIRETTO</v>
      </c>
      <c r="E598" t="str">
        <f t="shared" si="151"/>
        <v>GAMMA INDIRIZZI SRL - 01048250391</v>
      </c>
      <c r="F598" t="str">
        <f t="shared" si="151"/>
        <v>GAMMA INDIRIZZI SRL - 01048250391</v>
      </c>
      <c r="G598" t="str">
        <f>"238,00 EUR"</f>
        <v>238,00 EUR</v>
      </c>
      <c r="H598" t="str">
        <f t="shared" si="150"/>
        <v>31/07/2019 - 10/08/2019</v>
      </c>
      <c r="I598" t="str">
        <f>"238,00 EUR"</f>
        <v>238,00 EUR</v>
      </c>
    </row>
    <row r="599" spans="1:9" x14ac:dyDescent="0.25">
      <c r="A599" t="str">
        <f>"Z4E2961807"</f>
        <v>Z4E2961807</v>
      </c>
      <c r="B599" t="str">
        <f t="shared" si="140"/>
        <v>AC Ravenna - 00085710390</v>
      </c>
      <c r="C599" t="str">
        <f>"SERVIZIO TRASPORTI RIUNIONE DELEGATI"</f>
        <v>SERVIZIO TRASPORTI RIUNIONE DELEGATI</v>
      </c>
      <c r="D599" t="str">
        <f t="shared" si="131"/>
        <v>23-AFFIDAMENTO DIRETTO</v>
      </c>
      <c r="E599" t="str">
        <f>"POLLINI STEFANO E G AUTOSERVIZI SNC - 00735160392"</f>
        <v>POLLINI STEFANO E G AUTOSERVIZI SNC - 00735160392</v>
      </c>
      <c r="F599" t="str">
        <f>"POLLINI STEFANO E G AUTOSERVIZI SNC - 00735160392"</f>
        <v>POLLINI STEFANO E G AUTOSERVIZI SNC - 00735160392</v>
      </c>
      <c r="G599" t="str">
        <f>"318,00 EUR"</f>
        <v>318,00 EUR</v>
      </c>
      <c r="H599" t="str">
        <f>"31/07/2019 - 31/08/2019"</f>
        <v>31/07/2019 - 31/08/2019</v>
      </c>
      <c r="I599" t="str">
        <f>"318,00 EUR"</f>
        <v>318,00 EUR</v>
      </c>
    </row>
    <row r="600" spans="1:9" x14ac:dyDescent="0.25">
      <c r="A600" t="str">
        <f>"Z16293E4DA"</f>
        <v>Z16293E4DA</v>
      </c>
      <c r="B600" t="str">
        <f t="shared" ref="B600:B631" si="152">"AC Ravenna - 00085710390"</f>
        <v>AC Ravenna - 00085710390</v>
      </c>
      <c r="C600" t="str">
        <f>"MANUTENZIONE CLIMA"</f>
        <v>MANUTENZIONE CLIMA</v>
      </c>
      <c r="D600" t="str">
        <f t="shared" si="131"/>
        <v>23-AFFIDAMENTO DIRETTO</v>
      </c>
      <c r="E600" t="str">
        <f>"NUOVA FRANCESCONI - 00455740399"</f>
        <v>NUOVA FRANCESCONI - 00455740399</v>
      </c>
      <c r="F600" t="str">
        <f>"NUOVA FRANCESCONI - 00455740399"</f>
        <v>NUOVA FRANCESCONI - 00455740399</v>
      </c>
      <c r="G600" t="str">
        <f>"1.900,00 EUR"</f>
        <v>1.900,00 EUR</v>
      </c>
      <c r="H600" t="str">
        <f>"18/07/2019 - 31/07/2021"</f>
        <v>18/07/2019 - 31/07/2021</v>
      </c>
      <c r="I600" t="str">
        <f>"1.900,00 EUR"</f>
        <v>1.900,00 EUR</v>
      </c>
    </row>
    <row r="601" spans="1:9" x14ac:dyDescent="0.25">
      <c r="A601" t="str">
        <f>"Z9C293A5F1"</f>
        <v>Z9C293A5F1</v>
      </c>
      <c r="B601" t="str">
        <f t="shared" si="152"/>
        <v>AC Ravenna - 00085710390</v>
      </c>
      <c r="C601" t="str">
        <f>"MODULISTICA PERSONALIZZATA UFFICIO ASSISTENZA"</f>
        <v>MODULISTICA PERSONALIZZATA UFFICIO ASSISTENZA</v>
      </c>
      <c r="D601" t="str">
        <f t="shared" si="131"/>
        <v>23-AFFIDAMENTO DIRETTO</v>
      </c>
      <c r="E601" t="str">
        <f>"MAZZANTI PRINTCOLOR SRL - 02091850395"</f>
        <v>MAZZANTI PRINTCOLOR SRL - 02091850395</v>
      </c>
      <c r="F601" t="str">
        <f>"MAZZANTI PRINTCOLOR SRL - 02091850395"</f>
        <v>MAZZANTI PRINTCOLOR SRL - 02091850395</v>
      </c>
      <c r="G601" t="str">
        <f>"335,00 EUR"</f>
        <v>335,00 EUR</v>
      </c>
      <c r="H601" t="str">
        <f>"17/07/2019 - 31/07/2019"</f>
        <v>17/07/2019 - 31/07/2019</v>
      </c>
      <c r="I601" t="str">
        <f>"335,00 EUR"</f>
        <v>335,00 EUR</v>
      </c>
    </row>
    <row r="602" spans="1:9" x14ac:dyDescent="0.25">
      <c r="A602" t="str">
        <f>"Z1A293A633"</f>
        <v>Z1A293A633</v>
      </c>
      <c r="B602" t="str">
        <f t="shared" si="152"/>
        <v>AC Ravenna - 00085710390</v>
      </c>
      <c r="C602" t="str">
        <f>"MODULISTICA PERSONALIZZATA UFFICIO AMMINISTRAZIONE"</f>
        <v>MODULISTICA PERSONALIZZATA UFFICIO AMMINISTRAZIONE</v>
      </c>
      <c r="D602" t="str">
        <f t="shared" si="131"/>
        <v>23-AFFIDAMENTO DIRETTO</v>
      </c>
      <c r="E602" t="str">
        <f>"MAZZANTI PRINTCOLOR SRL - 02091850395"</f>
        <v>MAZZANTI PRINTCOLOR SRL - 02091850395</v>
      </c>
      <c r="F602" t="str">
        <f>"MAZZANTI PRINTCOLOR SRL - 02091850395"</f>
        <v>MAZZANTI PRINTCOLOR SRL - 02091850395</v>
      </c>
      <c r="G602" t="str">
        <f>"315,00 EUR"</f>
        <v>315,00 EUR</v>
      </c>
      <c r="H602" t="str">
        <f>"17/07/2019 - 31/07/2019"</f>
        <v>17/07/2019 - 31/07/2019</v>
      </c>
      <c r="I602" t="str">
        <f>"315,00 EUR"</f>
        <v>315,00 EUR</v>
      </c>
    </row>
    <row r="603" spans="1:9" x14ac:dyDescent="0.25">
      <c r="A603" t="str">
        <f>"Z202936816"</f>
        <v>Z202936816</v>
      </c>
      <c r="B603" t="str">
        <f t="shared" si="152"/>
        <v>AC Ravenna - 00085710390</v>
      </c>
      <c r="C603" t="str">
        <f>"SOFTWARE MDO 770 E CU"</f>
        <v>SOFTWARE MDO 770 E CU</v>
      </c>
      <c r="D603" t="str">
        <f t="shared" si="131"/>
        <v>23-AFFIDAMENTO DIRETTO</v>
      </c>
      <c r="E603" t="str">
        <f>"IMPRESOFT S.R.L. - 03186830240"</f>
        <v>IMPRESOFT S.R.L. - 03186830240</v>
      </c>
      <c r="F603" t="str">
        <f>"IMPRESOFT S.R.L. - 03186830240"</f>
        <v>IMPRESOFT S.R.L. - 03186830240</v>
      </c>
      <c r="G603" t="str">
        <f>"392,00 EUR"</f>
        <v>392,00 EUR</v>
      </c>
      <c r="H603" t="str">
        <f>"16/07/2019 - 31/12/2019"</f>
        <v>16/07/2019 - 31/12/2019</v>
      </c>
      <c r="I603" t="str">
        <f>"392,00 EUR"</f>
        <v>392,00 EUR</v>
      </c>
    </row>
    <row r="604" spans="1:9" x14ac:dyDescent="0.25">
      <c r="A604" t="str">
        <f>"Z5729158B6"</f>
        <v>Z5729158B6</v>
      </c>
      <c r="B604" t="str">
        <f t="shared" si="152"/>
        <v>AC Ravenna - 00085710390</v>
      </c>
      <c r="C604" t="str">
        <f>"RECAPITO SOCI"</f>
        <v>RECAPITO SOCI</v>
      </c>
      <c r="D604" t="str">
        <f t="shared" si="131"/>
        <v>23-AFFIDAMENTO DIRETTO</v>
      </c>
      <c r="E604" t="str">
        <f t="shared" ref="E604:F606" si="153">"FUTURFIL SRL - 02471780391"</f>
        <v>FUTURFIL SRL - 02471780391</v>
      </c>
      <c r="F604" t="str">
        <f t="shared" si="153"/>
        <v>FUTURFIL SRL - 02471780391</v>
      </c>
      <c r="G604" t="str">
        <f>"147,00 EUR"</f>
        <v>147,00 EUR</v>
      </c>
      <c r="H604" t="str">
        <f>"04/07/2019 - 10/04/2019"</f>
        <v>04/07/2019 - 10/04/2019</v>
      </c>
      <c r="I604" t="str">
        <f>"147,00 EUR"</f>
        <v>147,00 EUR</v>
      </c>
    </row>
    <row r="605" spans="1:9" x14ac:dyDescent="0.25">
      <c r="A605" t="str">
        <f>"Z8329158CE"</f>
        <v>Z8329158CE</v>
      </c>
      <c r="B605" t="str">
        <f t="shared" si="152"/>
        <v>AC Ravenna - 00085710390</v>
      </c>
      <c r="C605" t="str">
        <f>"RECAPITO PATENTI"</f>
        <v>RECAPITO PATENTI</v>
      </c>
      <c r="D605" t="str">
        <f t="shared" si="131"/>
        <v>23-AFFIDAMENTO DIRETTO</v>
      </c>
      <c r="E605" t="str">
        <f t="shared" si="153"/>
        <v>FUTURFIL SRL - 02471780391</v>
      </c>
      <c r="F605" t="str">
        <f t="shared" si="153"/>
        <v>FUTURFIL SRL - 02471780391</v>
      </c>
      <c r="G605" t="str">
        <f>"286,00 EUR"</f>
        <v>286,00 EUR</v>
      </c>
      <c r="H605" t="str">
        <f>"04/07/2019 - 10/08/2019"</f>
        <v>04/07/2019 - 10/08/2019</v>
      </c>
      <c r="I605" t="str">
        <f>"286,00 EUR"</f>
        <v>286,00 EUR</v>
      </c>
    </row>
    <row r="606" spans="1:9" x14ac:dyDescent="0.25">
      <c r="A606" t="str">
        <f>"ZC02915894"</f>
        <v>ZC02915894</v>
      </c>
      <c r="B606" t="str">
        <f t="shared" si="152"/>
        <v>AC Ravenna - 00085710390</v>
      </c>
      <c r="C606" t="str">
        <f>"RECAPITO BOLSE"</f>
        <v>RECAPITO BOLSE</v>
      </c>
      <c r="D606" t="str">
        <f t="shared" ref="D606:D669" si="154">"23-AFFIDAMENTO DIRETTO"</f>
        <v>23-AFFIDAMENTO DIRETTO</v>
      </c>
      <c r="E606" t="str">
        <f t="shared" si="153"/>
        <v>FUTURFIL SRL - 02471780391</v>
      </c>
      <c r="F606" t="str">
        <f t="shared" si="153"/>
        <v>FUTURFIL SRL - 02471780391</v>
      </c>
      <c r="G606" t="str">
        <f>"755,00 EUR"</f>
        <v>755,00 EUR</v>
      </c>
      <c r="H606" t="str">
        <f>"04/07/2019 - 10/08/2019"</f>
        <v>04/07/2019 - 10/08/2019</v>
      </c>
      <c r="I606" t="str">
        <f>"755,00 EUR"</f>
        <v>755,00 EUR</v>
      </c>
    </row>
    <row r="607" spans="1:9" x14ac:dyDescent="0.25">
      <c r="A607" t="str">
        <f>"ZF52915828"</f>
        <v>ZF52915828</v>
      </c>
      <c r="B607" t="str">
        <f t="shared" si="152"/>
        <v>AC Ravenna - 00085710390</v>
      </c>
      <c r="C607" t="str">
        <f>"ELAB AVVISI PATENTI"</f>
        <v>ELAB AVVISI PATENTI</v>
      </c>
      <c r="D607" t="str">
        <f t="shared" si="154"/>
        <v>23-AFFIDAMENTO DIRETTO</v>
      </c>
      <c r="E607" t="str">
        <f t="shared" ref="E607:F609" si="155">"GAMMA INDIRIZZI SRL - 01048250391"</f>
        <v>GAMMA INDIRIZZI SRL - 01048250391</v>
      </c>
      <c r="F607" t="str">
        <f t="shared" si="155"/>
        <v>GAMMA INDIRIZZI SRL - 01048250391</v>
      </c>
      <c r="G607" t="str">
        <f>"294,00 EUR"</f>
        <v>294,00 EUR</v>
      </c>
      <c r="H607" t="str">
        <f>"04/07/2019 - 10/08/2019"</f>
        <v>04/07/2019 - 10/08/2019</v>
      </c>
      <c r="I607" t="str">
        <f>"294,00 EUR"</f>
        <v>294,00 EUR</v>
      </c>
    </row>
    <row r="608" spans="1:9" x14ac:dyDescent="0.25">
      <c r="A608" t="str">
        <f>"Z9D29157F8"</f>
        <v>Z9D29157F8</v>
      </c>
      <c r="B608" t="str">
        <f t="shared" si="152"/>
        <v>AC Ravenna - 00085710390</v>
      </c>
      <c r="C608" t="str">
        <f>"ELAB AVVISI SOCI"</f>
        <v>ELAB AVVISI SOCI</v>
      </c>
      <c r="D608" t="str">
        <f t="shared" si="154"/>
        <v>23-AFFIDAMENTO DIRETTO</v>
      </c>
      <c r="E608" t="str">
        <f t="shared" si="155"/>
        <v>GAMMA INDIRIZZI SRL - 01048250391</v>
      </c>
      <c r="F608" t="str">
        <f t="shared" si="155"/>
        <v>GAMMA INDIRIZZI SRL - 01048250391</v>
      </c>
      <c r="G608" t="str">
        <f>"615,00 EUR"</f>
        <v>615,00 EUR</v>
      </c>
      <c r="H608" t="str">
        <f>"04/07/2019 - 10/08/2019"</f>
        <v>04/07/2019 - 10/08/2019</v>
      </c>
      <c r="I608" t="str">
        <f>"110,00 EUR"</f>
        <v>110,00 EUR</v>
      </c>
    </row>
    <row r="609" spans="1:9" x14ac:dyDescent="0.25">
      <c r="A609" t="str">
        <f>"Z6D29157C7"</f>
        <v>Z6D29157C7</v>
      </c>
      <c r="B609" t="str">
        <f t="shared" si="152"/>
        <v>AC Ravenna - 00085710390</v>
      </c>
      <c r="C609" t="str">
        <f>"ELAB AVVISI BOLSE"</f>
        <v>ELAB AVVISI BOLSE</v>
      </c>
      <c r="D609" t="str">
        <f t="shared" si="154"/>
        <v>23-AFFIDAMENTO DIRETTO</v>
      </c>
      <c r="E609" t="str">
        <f t="shared" si="155"/>
        <v>GAMMA INDIRIZZI SRL - 01048250391</v>
      </c>
      <c r="F609" t="str">
        <f t="shared" si="155"/>
        <v>GAMMA INDIRIZZI SRL - 01048250391</v>
      </c>
      <c r="G609" t="str">
        <f>"512,00 EUR"</f>
        <v>512,00 EUR</v>
      </c>
      <c r="H609" t="str">
        <f>"04/07/2019 - 10/08/2019"</f>
        <v>04/07/2019 - 10/08/2019</v>
      </c>
      <c r="I609" t="str">
        <f>"512,00 EUR"</f>
        <v>512,00 EUR</v>
      </c>
    </row>
    <row r="610" spans="1:9" x14ac:dyDescent="0.25">
      <c r="A610" t="str">
        <f>"Z5828C7DBF"</f>
        <v>Z5828C7DBF</v>
      </c>
      <c r="B610" t="str">
        <f t="shared" si="152"/>
        <v>AC Ravenna - 00085710390</v>
      </c>
      <c r="C610" t="str">
        <f>"TRASPORTO RIUNIONE DELEGATI"</f>
        <v>TRASPORTO RIUNIONE DELEGATI</v>
      </c>
      <c r="D610" t="str">
        <f t="shared" si="154"/>
        <v>23-AFFIDAMENTO DIRETTO</v>
      </c>
      <c r="E610" t="str">
        <f>"POLLINI STEFANO E G AUTOSERVIZI SNC - 00735160392"</f>
        <v>POLLINI STEFANO E G AUTOSERVIZI SNC - 00735160392</v>
      </c>
      <c r="F610" t="str">
        <f>"POLLINI STEFANO E G AUTOSERVIZI SNC - 00735160392"</f>
        <v>POLLINI STEFANO E G AUTOSERVIZI SNC - 00735160392</v>
      </c>
      <c r="G610" t="str">
        <f>"350,00 EUR"</f>
        <v>350,00 EUR</v>
      </c>
      <c r="H610" t="str">
        <f>"11/06/2019 - 11/07/2019"</f>
        <v>11/06/2019 - 11/07/2019</v>
      </c>
      <c r="I610" t="str">
        <f>"350,00 EUR"</f>
        <v>350,00 EUR</v>
      </c>
    </row>
    <row r="611" spans="1:9" x14ac:dyDescent="0.25">
      <c r="A611" t="str">
        <f>"z2728a5c25"</f>
        <v>z2728a5c25</v>
      </c>
      <c r="B611" t="str">
        <f t="shared" si="152"/>
        <v>AC Ravenna - 00085710390</v>
      </c>
      <c r="C611" t="str">
        <f>"stampati"</f>
        <v>stampati</v>
      </c>
      <c r="D611" t="str">
        <f t="shared" si="154"/>
        <v>23-AFFIDAMENTO DIRETTO</v>
      </c>
      <c r="E611" t="str">
        <f>"MAZZANTI PRINTCOLOR SRL - 02091850395"</f>
        <v>MAZZANTI PRINTCOLOR SRL - 02091850395</v>
      </c>
      <c r="F611" t="str">
        <f>"MAZZANTI PRINTCOLOR SRL - 02091850395"</f>
        <v>MAZZANTI PRINTCOLOR SRL - 02091850395</v>
      </c>
      <c r="G611" t="str">
        <f>"615,00 EUR"</f>
        <v>615,00 EUR</v>
      </c>
      <c r="H611" t="str">
        <f>"30/05/2019 - 30/06/2019"</f>
        <v>30/05/2019 - 30/06/2019</v>
      </c>
      <c r="I611" t="str">
        <f>"615,00 EUR"</f>
        <v>615,00 EUR</v>
      </c>
    </row>
    <row r="612" spans="1:9" x14ac:dyDescent="0.25">
      <c r="A612" t="str">
        <f>"ze12896f00"</f>
        <v>ze12896f00</v>
      </c>
      <c r="B612" t="str">
        <f t="shared" si="152"/>
        <v>AC Ravenna - 00085710390</v>
      </c>
      <c r="C612" t="str">
        <f>"acqusito software"</f>
        <v>acqusito software</v>
      </c>
      <c r="D612" t="str">
        <f t="shared" si="154"/>
        <v>23-AFFIDAMENTO DIRETTO</v>
      </c>
      <c r="E612" t="str">
        <f>"IMPRESOFT S.R.L. - 03186830240"</f>
        <v>IMPRESOFT S.R.L. - 03186830240</v>
      </c>
      <c r="F612" t="str">
        <f>"IMPRESOFT S.R.L. - 03186830240"</f>
        <v>IMPRESOFT S.R.L. - 03186830240</v>
      </c>
      <c r="G612" t="str">
        <f>"7.094,00 EUR"</f>
        <v>7.094,00 EUR</v>
      </c>
      <c r="H612" t="str">
        <f>"27/05/2019 - 27/06/2019"</f>
        <v>27/05/2019 - 27/06/2019</v>
      </c>
      <c r="I612" t="str">
        <f>"7.094,00 EUR"</f>
        <v>7.094,00 EUR</v>
      </c>
    </row>
    <row r="613" spans="1:9" x14ac:dyDescent="0.25">
      <c r="A613" t="str">
        <f>"Z4328831E2"</f>
        <v>Z4328831E2</v>
      </c>
      <c r="B613" t="str">
        <f t="shared" si="152"/>
        <v>AC Ravenna - 00085710390</v>
      </c>
      <c r="C613" t="str">
        <f>"RECAPITO PATENTI"</f>
        <v>RECAPITO PATENTI</v>
      </c>
      <c r="D613" t="str">
        <f t="shared" si="154"/>
        <v>23-AFFIDAMENTO DIRETTO</v>
      </c>
      <c r="E613" t="str">
        <f t="shared" ref="E613:F615" si="156">"FUTURFIL SRL - 02471780391"</f>
        <v>FUTURFIL SRL - 02471780391</v>
      </c>
      <c r="F613" t="str">
        <f t="shared" si="156"/>
        <v>FUTURFIL SRL - 02471780391</v>
      </c>
      <c r="G613" t="str">
        <f>"292,00 EUR"</f>
        <v>292,00 EUR</v>
      </c>
      <c r="H613" t="str">
        <f t="shared" ref="H613:H618" si="157">"21/05/2019 - 10/06/2019"</f>
        <v>21/05/2019 - 10/06/2019</v>
      </c>
      <c r="I613" t="str">
        <f>"292,00 EUR"</f>
        <v>292,00 EUR</v>
      </c>
    </row>
    <row r="614" spans="1:9" x14ac:dyDescent="0.25">
      <c r="A614" t="str">
        <f>"Z3828831DC"</f>
        <v>Z3828831DC</v>
      </c>
      <c r="B614" t="str">
        <f t="shared" si="152"/>
        <v>AC Ravenna - 00085710390</v>
      </c>
      <c r="C614" t="str">
        <f>"RECAPITO SOCI"</f>
        <v>RECAPITO SOCI</v>
      </c>
      <c r="D614" t="str">
        <f t="shared" si="154"/>
        <v>23-AFFIDAMENTO DIRETTO</v>
      </c>
      <c r="E614" t="str">
        <f t="shared" si="156"/>
        <v>FUTURFIL SRL - 02471780391</v>
      </c>
      <c r="F614" t="str">
        <f t="shared" si="156"/>
        <v>FUTURFIL SRL - 02471780391</v>
      </c>
      <c r="G614" t="str">
        <f>"125,00 EUR"</f>
        <v>125,00 EUR</v>
      </c>
      <c r="H614" t="str">
        <f t="shared" si="157"/>
        <v>21/05/2019 - 10/06/2019</v>
      </c>
      <c r="I614" t="str">
        <f>"125,00 EUR"</f>
        <v>125,00 EUR</v>
      </c>
    </row>
    <row r="615" spans="1:9" x14ac:dyDescent="0.25">
      <c r="A615" t="str">
        <f>"ZCD28831D2"</f>
        <v>ZCD28831D2</v>
      </c>
      <c r="B615" t="str">
        <f t="shared" si="152"/>
        <v>AC Ravenna - 00085710390</v>
      </c>
      <c r="C615" t="str">
        <f>"RECAPITO BOLSE"</f>
        <v>RECAPITO BOLSE</v>
      </c>
      <c r="D615" t="str">
        <f t="shared" si="154"/>
        <v>23-AFFIDAMENTO DIRETTO</v>
      </c>
      <c r="E615" t="str">
        <f t="shared" si="156"/>
        <v>FUTURFIL SRL - 02471780391</v>
      </c>
      <c r="F615" t="str">
        <f t="shared" si="156"/>
        <v>FUTURFIL SRL - 02471780391</v>
      </c>
      <c r="G615" t="str">
        <f>"234,00 EUR"</f>
        <v>234,00 EUR</v>
      </c>
      <c r="H615" t="str">
        <f t="shared" si="157"/>
        <v>21/05/2019 - 10/06/2019</v>
      </c>
      <c r="I615" t="str">
        <f>"234,00 EUR"</f>
        <v>234,00 EUR</v>
      </c>
    </row>
    <row r="616" spans="1:9" x14ac:dyDescent="0.25">
      <c r="A616" t="str">
        <f>"Z8F28831C7"</f>
        <v>Z8F28831C7</v>
      </c>
      <c r="B616" t="str">
        <f t="shared" si="152"/>
        <v>AC Ravenna - 00085710390</v>
      </c>
      <c r="C616" t="str">
        <f>"SERVIZIO ELAB. PATENTI"</f>
        <v>SERVIZIO ELAB. PATENTI</v>
      </c>
      <c r="D616" t="str">
        <f t="shared" si="154"/>
        <v>23-AFFIDAMENTO DIRETTO</v>
      </c>
      <c r="E616" t="str">
        <f t="shared" ref="E616:F618" si="158">"GAMMA INDIRIZZI SRL - 01048250391"</f>
        <v>GAMMA INDIRIZZI SRL - 01048250391</v>
      </c>
      <c r="F616" t="str">
        <f t="shared" si="158"/>
        <v>GAMMA INDIRIZZI SRL - 01048250391</v>
      </c>
      <c r="G616" t="str">
        <f>"75,00 EUR"</f>
        <v>75,00 EUR</v>
      </c>
      <c r="H616" t="str">
        <f t="shared" si="157"/>
        <v>21/05/2019 - 10/06/2019</v>
      </c>
      <c r="I616" t="str">
        <f>"75,00 EUR"</f>
        <v>75,00 EUR</v>
      </c>
    </row>
    <row r="617" spans="1:9" x14ac:dyDescent="0.25">
      <c r="A617" t="str">
        <f>"Z5C28831C2"</f>
        <v>Z5C28831C2</v>
      </c>
      <c r="B617" t="str">
        <f t="shared" si="152"/>
        <v>AC Ravenna - 00085710390</v>
      </c>
      <c r="C617" t="str">
        <f>"SERVIZIO ELAB. SOCI"</f>
        <v>SERVIZIO ELAB. SOCI</v>
      </c>
      <c r="D617" t="str">
        <f t="shared" si="154"/>
        <v>23-AFFIDAMENTO DIRETTO</v>
      </c>
      <c r="E617" t="str">
        <f t="shared" si="158"/>
        <v>GAMMA INDIRIZZI SRL - 01048250391</v>
      </c>
      <c r="F617" t="str">
        <f t="shared" si="158"/>
        <v>GAMMA INDIRIZZI SRL - 01048250391</v>
      </c>
      <c r="G617" t="str">
        <f>"103,00 EUR"</f>
        <v>103,00 EUR</v>
      </c>
      <c r="H617" t="str">
        <f t="shared" si="157"/>
        <v>21/05/2019 - 10/06/2019</v>
      </c>
      <c r="I617" t="str">
        <f>"103,00 EUR"</f>
        <v>103,00 EUR</v>
      </c>
    </row>
    <row r="618" spans="1:9" x14ac:dyDescent="0.25">
      <c r="A618" t="str">
        <f>"ZA128831BA"</f>
        <v>ZA128831BA</v>
      </c>
      <c r="B618" t="str">
        <f t="shared" si="152"/>
        <v>AC Ravenna - 00085710390</v>
      </c>
      <c r="C618" t="str">
        <f>"SERVIZIO ELAB. BOLSE"</f>
        <v>SERVIZIO ELAB. BOLSE</v>
      </c>
      <c r="D618" t="str">
        <f t="shared" si="154"/>
        <v>23-AFFIDAMENTO DIRETTO</v>
      </c>
      <c r="E618" t="str">
        <f t="shared" si="158"/>
        <v>GAMMA INDIRIZZI SRL - 01048250391</v>
      </c>
      <c r="F618" t="str">
        <f t="shared" si="158"/>
        <v>GAMMA INDIRIZZI SRL - 01048250391</v>
      </c>
      <c r="G618" t="str">
        <f>"179,00 EUR"</f>
        <v>179,00 EUR</v>
      </c>
      <c r="H618" t="str">
        <f t="shared" si="157"/>
        <v>21/05/2019 - 10/06/2019</v>
      </c>
      <c r="I618" t="str">
        <f>"179,00 EUR"</f>
        <v>179,00 EUR</v>
      </c>
    </row>
    <row r="619" spans="1:9" x14ac:dyDescent="0.25">
      <c r="A619" t="str">
        <f>"ZEE2882CFD"</f>
        <v>ZEE2882CFD</v>
      </c>
      <c r="B619" t="str">
        <f t="shared" si="152"/>
        <v>AC Ravenna - 00085710390</v>
      </c>
      <c r="C619" t="str">
        <f>"IMPIANTO ELETTRICO NUOVO CENTRALINO"</f>
        <v>IMPIANTO ELETTRICO NUOVO CENTRALINO</v>
      </c>
      <c r="D619" t="str">
        <f t="shared" si="154"/>
        <v>23-AFFIDAMENTO DIRETTO</v>
      </c>
      <c r="E619" t="str">
        <f>"MORGAGNI BENIAMINO - MRGBMN61C31H199N"</f>
        <v>MORGAGNI BENIAMINO - MRGBMN61C31H199N</v>
      </c>
      <c r="F619" t="str">
        <f>"MORGAGNI BENIAMINO - MRGBMN61C31H199N"</f>
        <v>MORGAGNI BENIAMINO - MRGBMN61C31H199N</v>
      </c>
      <c r="G619" t="str">
        <f>"2.051,00 EUR"</f>
        <v>2.051,00 EUR</v>
      </c>
      <c r="H619" t="str">
        <f>"21/05/2019 - 21/06/2019"</f>
        <v>21/05/2019 - 21/06/2019</v>
      </c>
      <c r="I619" t="str">
        <f>"2.051,00 EUR"</f>
        <v>2.051,00 EUR</v>
      </c>
    </row>
    <row r="620" spans="1:9" x14ac:dyDescent="0.25">
      <c r="A620" t="str">
        <f>"Z7128829B1"</f>
        <v>Z7128829B1</v>
      </c>
      <c r="B620" t="str">
        <f t="shared" si="152"/>
        <v>AC Ravenna - 00085710390</v>
      </c>
      <c r="C620" t="str">
        <f>"SCAFFALATURA ARCHIVIO"</f>
        <v>SCAFFALATURA ARCHIVIO</v>
      </c>
      <c r="D620" t="str">
        <f t="shared" si="154"/>
        <v>23-AFFIDAMENTO DIRETTO</v>
      </c>
      <c r="E620" t="str">
        <f>"STUDIO T SRL - 00387880396"</f>
        <v>STUDIO T SRL - 00387880396</v>
      </c>
      <c r="F620" t="str">
        <f>"STUDIO T SRL - 00387880396"</f>
        <v>STUDIO T SRL - 00387880396</v>
      </c>
      <c r="G620" t="str">
        <f>"1.380,00 EUR"</f>
        <v>1.380,00 EUR</v>
      </c>
      <c r="H620" t="str">
        <f>"21/05/2019 - 21/07/2019"</f>
        <v>21/05/2019 - 21/07/2019</v>
      </c>
      <c r="I620" t="str">
        <f>"1.380,00 EUR"</f>
        <v>1.380,00 EUR</v>
      </c>
    </row>
    <row r="621" spans="1:9" x14ac:dyDescent="0.25">
      <c r="A621" t="str">
        <f>"Z432872B1E"</f>
        <v>Z432872B1E</v>
      </c>
      <c r="B621" t="str">
        <f t="shared" si="152"/>
        <v>AC Ravenna - 00085710390</v>
      </c>
      <c r="C621" t="str">
        <f>"PUBBLICAZIONE SU QUOTIDIANO LOCALE"</f>
        <v>PUBBLICAZIONE SU QUOTIDIANO LOCALE</v>
      </c>
      <c r="D621" t="str">
        <f t="shared" si="154"/>
        <v>23-AFFIDAMENTO DIRETTO</v>
      </c>
      <c r="E621" t="str">
        <f>"SPE SPA - 00326930377"</f>
        <v>SPE SPA - 00326930377</v>
      </c>
      <c r="F621" t="str">
        <f>"SPE SPA - 00326930377"</f>
        <v>SPE SPA - 00326930377</v>
      </c>
      <c r="G621" t="str">
        <f>"200,00 EUR"</f>
        <v>200,00 EUR</v>
      </c>
      <c r="H621" t="str">
        <f>"16/05/2019 - 16/06/2019"</f>
        <v>16/05/2019 - 16/06/2019</v>
      </c>
      <c r="I621" t="str">
        <f>"200,00 EUR"</f>
        <v>200,00 EUR</v>
      </c>
    </row>
    <row r="622" spans="1:9" x14ac:dyDescent="0.25">
      <c r="A622" t="str">
        <f>"Z92286832E"</f>
        <v>Z92286832E</v>
      </c>
      <c r="B622" t="str">
        <f t="shared" si="152"/>
        <v>AC Ravenna - 00085710390</v>
      </c>
      <c r="C622" t="str">
        <f>"SPESE RIUNIONE DELEGATI"</f>
        <v>SPESE RIUNIONE DELEGATI</v>
      </c>
      <c r="D622" t="str">
        <f t="shared" si="154"/>
        <v>23-AFFIDAMENTO DIRETTO</v>
      </c>
      <c r="E622" t="str">
        <f>"DELITIA SRL - 02554030391"</f>
        <v>DELITIA SRL - 02554030391</v>
      </c>
      <c r="F622" t="str">
        <f>"DELITIA SRL - 02554030391"</f>
        <v>DELITIA SRL - 02554030391</v>
      </c>
      <c r="G622" t="str">
        <f>"236,00 EUR"</f>
        <v>236,00 EUR</v>
      </c>
      <c r="H622" t="str">
        <f>"14/05/2019 - 30/05/2019"</f>
        <v>14/05/2019 - 30/05/2019</v>
      </c>
      <c r="I622" t="str">
        <f>"236,00 EUR"</f>
        <v>236,00 EUR</v>
      </c>
    </row>
    <row r="623" spans="1:9" x14ac:dyDescent="0.25">
      <c r="A623" t="str">
        <f>"ZB12821B2C"</f>
        <v>ZB12821B2C</v>
      </c>
      <c r="B623" t="str">
        <f t="shared" si="152"/>
        <v>AC Ravenna - 00085710390</v>
      </c>
      <c r="C623" t="str">
        <f>"SERVIZIO ELAB. BOLSE"</f>
        <v>SERVIZIO ELAB. BOLSE</v>
      </c>
      <c r="D623" t="str">
        <f t="shared" si="154"/>
        <v>23-AFFIDAMENTO DIRETTO</v>
      </c>
      <c r="E623" t="str">
        <f t="shared" ref="E623:F625" si="159">"GAMMA INDIRIZZI SRL - 01048250391"</f>
        <v>GAMMA INDIRIZZI SRL - 01048250391</v>
      </c>
      <c r="F623" t="str">
        <f t="shared" si="159"/>
        <v>GAMMA INDIRIZZI SRL - 01048250391</v>
      </c>
      <c r="G623" t="str">
        <f>"539,00 EUR"</f>
        <v>539,00 EUR</v>
      </c>
      <c r="H623" t="str">
        <f t="shared" ref="H623:H628" si="160">"19/04/2019 - 10/05/2019"</f>
        <v>19/04/2019 - 10/05/2019</v>
      </c>
      <c r="I623" t="str">
        <f>"539,00 EUR"</f>
        <v>539,00 EUR</v>
      </c>
    </row>
    <row r="624" spans="1:9" x14ac:dyDescent="0.25">
      <c r="A624" t="str">
        <f>"Z912821B5F"</f>
        <v>Z912821B5F</v>
      </c>
      <c r="B624" t="str">
        <f t="shared" si="152"/>
        <v>AC Ravenna - 00085710390</v>
      </c>
      <c r="C624" t="str">
        <f>"SERVIZIO ELAB. PATENTI"</f>
        <v>SERVIZIO ELAB. PATENTI</v>
      </c>
      <c r="D624" t="str">
        <f t="shared" si="154"/>
        <v>23-AFFIDAMENTO DIRETTO</v>
      </c>
      <c r="E624" t="str">
        <f t="shared" si="159"/>
        <v>GAMMA INDIRIZZI SRL - 01048250391</v>
      </c>
      <c r="F624" t="str">
        <f t="shared" si="159"/>
        <v>GAMMA INDIRIZZI SRL - 01048250391</v>
      </c>
      <c r="G624" t="str">
        <f>"79,00 EUR"</f>
        <v>79,00 EUR</v>
      </c>
      <c r="H624" t="str">
        <f t="shared" si="160"/>
        <v>19/04/2019 - 10/05/2019</v>
      </c>
      <c r="I624" t="str">
        <f>"79,00 EUR"</f>
        <v>79,00 EUR</v>
      </c>
    </row>
    <row r="625" spans="1:9" x14ac:dyDescent="0.25">
      <c r="A625" t="str">
        <f>"ZAC2821BC9"</f>
        <v>ZAC2821BC9</v>
      </c>
      <c r="B625" t="str">
        <f t="shared" si="152"/>
        <v>AC Ravenna - 00085710390</v>
      </c>
      <c r="C625" t="str">
        <f>"SERVIZIO ELAB. SOCI"</f>
        <v>SERVIZIO ELAB. SOCI</v>
      </c>
      <c r="D625" t="str">
        <f t="shared" si="154"/>
        <v>23-AFFIDAMENTO DIRETTO</v>
      </c>
      <c r="E625" t="str">
        <f t="shared" si="159"/>
        <v>GAMMA INDIRIZZI SRL - 01048250391</v>
      </c>
      <c r="F625" t="str">
        <f t="shared" si="159"/>
        <v>GAMMA INDIRIZZI SRL - 01048250391</v>
      </c>
      <c r="G625" t="str">
        <f>"96,00 EUR"</f>
        <v>96,00 EUR</v>
      </c>
      <c r="H625" t="str">
        <f t="shared" si="160"/>
        <v>19/04/2019 - 10/05/2019</v>
      </c>
      <c r="I625" t="str">
        <f>"96,00 EUR"</f>
        <v>96,00 EUR</v>
      </c>
    </row>
    <row r="626" spans="1:9" x14ac:dyDescent="0.25">
      <c r="A626" t="str">
        <f>"Z682821C16"</f>
        <v>Z682821C16</v>
      </c>
      <c r="B626" t="str">
        <f t="shared" si="152"/>
        <v>AC Ravenna - 00085710390</v>
      </c>
      <c r="C626" t="str">
        <f>"RECAPITO BOLSE"</f>
        <v>RECAPITO BOLSE</v>
      </c>
      <c r="D626" t="str">
        <f t="shared" si="154"/>
        <v>23-AFFIDAMENTO DIRETTO</v>
      </c>
      <c r="E626" t="str">
        <f t="shared" ref="E626:F628" si="161">"FUTURFIL SRL - 02471780391"</f>
        <v>FUTURFIL SRL - 02471780391</v>
      </c>
      <c r="F626" t="str">
        <f t="shared" si="161"/>
        <v>FUTURFIL SRL - 02471780391</v>
      </c>
      <c r="G626" t="str">
        <f>"798,00 EUR"</f>
        <v>798,00 EUR</v>
      </c>
      <c r="H626" t="str">
        <f t="shared" si="160"/>
        <v>19/04/2019 - 10/05/2019</v>
      </c>
      <c r="I626" t="str">
        <f>"798,00 EUR"</f>
        <v>798,00 EUR</v>
      </c>
    </row>
    <row r="627" spans="1:9" x14ac:dyDescent="0.25">
      <c r="A627" t="str">
        <f>"Z442821C30"</f>
        <v>Z442821C30</v>
      </c>
      <c r="B627" t="str">
        <f t="shared" si="152"/>
        <v>AC Ravenna - 00085710390</v>
      </c>
      <c r="C627" t="str">
        <f>"RECAPITO PATENTI"</f>
        <v>RECAPITO PATENTI</v>
      </c>
      <c r="D627" t="str">
        <f t="shared" si="154"/>
        <v>23-AFFIDAMENTO DIRETTO</v>
      </c>
      <c r="E627" t="str">
        <f t="shared" si="161"/>
        <v>FUTURFIL SRL - 02471780391</v>
      </c>
      <c r="F627" t="str">
        <f t="shared" si="161"/>
        <v>FUTURFIL SRL - 02471780391</v>
      </c>
      <c r="G627" t="str">
        <f>"309,00 EUR"</f>
        <v>309,00 EUR</v>
      </c>
      <c r="H627" t="str">
        <f t="shared" si="160"/>
        <v>19/04/2019 - 10/05/2019</v>
      </c>
      <c r="I627" t="str">
        <f>"309,00 EUR"</f>
        <v>309,00 EUR</v>
      </c>
    </row>
    <row r="628" spans="1:9" x14ac:dyDescent="0.25">
      <c r="A628" t="str">
        <f>"ZCB2821C4C"</f>
        <v>ZCB2821C4C</v>
      </c>
      <c r="B628" t="str">
        <f t="shared" si="152"/>
        <v>AC Ravenna - 00085710390</v>
      </c>
      <c r="C628" t="str">
        <f>"RECAPITO SOCI"</f>
        <v>RECAPITO SOCI</v>
      </c>
      <c r="D628" t="str">
        <f t="shared" si="154"/>
        <v>23-AFFIDAMENTO DIRETTO</v>
      </c>
      <c r="E628" t="str">
        <f t="shared" si="161"/>
        <v>FUTURFIL SRL - 02471780391</v>
      </c>
      <c r="F628" t="str">
        <f t="shared" si="161"/>
        <v>FUTURFIL SRL - 02471780391</v>
      </c>
      <c r="G628" t="str">
        <f>"114,00 EUR"</f>
        <v>114,00 EUR</v>
      </c>
      <c r="H628" t="str">
        <f t="shared" si="160"/>
        <v>19/04/2019 - 10/05/2019</v>
      </c>
      <c r="I628" t="str">
        <f>"114,00 EUR"</f>
        <v>114,00 EUR</v>
      </c>
    </row>
    <row r="629" spans="1:9" x14ac:dyDescent="0.25">
      <c r="A629" t="str">
        <f>"Z6B28096AB"</f>
        <v>Z6B28096AB</v>
      </c>
      <c r="B629" t="str">
        <f t="shared" si="152"/>
        <v>AC Ravenna - 00085710390</v>
      </c>
      <c r="C629" t="str">
        <f>"INSTALLAZIONE CENTRALINO"</f>
        <v>INSTALLAZIONE CENTRALINO</v>
      </c>
      <c r="D629" t="str">
        <f t="shared" si="154"/>
        <v>23-AFFIDAMENTO DIRETTO</v>
      </c>
      <c r="E629" t="str">
        <f>"VI.TU.MA. SRL - 03251220400"</f>
        <v>VI.TU.MA. SRL - 03251220400</v>
      </c>
      <c r="F629" t="str">
        <f>"VI.TU.MA. SRL - 03251220400"</f>
        <v>VI.TU.MA. SRL - 03251220400</v>
      </c>
      <c r="G629" t="str">
        <f>"750,00 EUR"</f>
        <v>750,00 EUR</v>
      </c>
      <c r="H629" t="str">
        <f>"13/04/2019 - 13/05/2019"</f>
        <v>13/04/2019 - 13/05/2019</v>
      </c>
      <c r="I629" t="str">
        <f>"750,00 EUR"</f>
        <v>750,00 EUR</v>
      </c>
    </row>
    <row r="630" spans="1:9" x14ac:dyDescent="0.25">
      <c r="A630" t="str">
        <f>"Z8828096A4"</f>
        <v>Z8828096A4</v>
      </c>
      <c r="B630" t="str">
        <f t="shared" si="152"/>
        <v>AC Ravenna - 00085710390</v>
      </c>
      <c r="C630" t="str">
        <f>"CENTRALINO TELEFONICO"</f>
        <v>CENTRALINO TELEFONICO</v>
      </c>
      <c r="D630" t="str">
        <f t="shared" si="154"/>
        <v>23-AFFIDAMENTO DIRETTO</v>
      </c>
      <c r="E630" t="str">
        <f>"VI.TU.MA. SRL - 03251220400"</f>
        <v>VI.TU.MA. SRL - 03251220400</v>
      </c>
      <c r="F630" t="str">
        <f>"VI.TU.MA. SRL - 03251220400"</f>
        <v>VI.TU.MA. SRL - 03251220400</v>
      </c>
      <c r="G630" t="str">
        <f>"11.160,00 EUR"</f>
        <v>11.160,00 EUR</v>
      </c>
      <c r="H630" t="str">
        <f>"13/04/2019 - 31/12/2022"</f>
        <v>13/04/2019 - 31/12/2022</v>
      </c>
      <c r="I630" t="str">
        <f>"11.160,00 EUR"</f>
        <v>11.160,00 EUR</v>
      </c>
    </row>
    <row r="631" spans="1:9" x14ac:dyDescent="0.25">
      <c r="A631" t="str">
        <f>"Z2B2802169"</f>
        <v>Z2B2802169</v>
      </c>
      <c r="B631" t="str">
        <f t="shared" si="152"/>
        <v>AC Ravenna - 00085710390</v>
      </c>
      <c r="C631" t="str">
        <f>"PUBBLICAZIONI 2019"</f>
        <v>PUBBLICAZIONI 2019</v>
      </c>
      <c r="D631" t="str">
        <f t="shared" si="154"/>
        <v>23-AFFIDAMENTO DIRETTO</v>
      </c>
      <c r="E631" t="str">
        <f>"ITALIA ON LINE SRL - 11120300154"</f>
        <v>ITALIA ON LINE SRL - 11120300154</v>
      </c>
      <c r="F631" t="str">
        <f>"ITALIA ON LINE SRL - 11120300154"</f>
        <v>ITALIA ON LINE SRL - 11120300154</v>
      </c>
      <c r="G631" t="str">
        <f>"935,00 EUR"</f>
        <v>935,00 EUR</v>
      </c>
      <c r="H631" t="str">
        <f>"11/04/2019 - 11/05/2019"</f>
        <v>11/04/2019 - 11/05/2019</v>
      </c>
      <c r="I631" t="str">
        <f>"935,00 EUR"</f>
        <v>935,00 EUR</v>
      </c>
    </row>
    <row r="632" spans="1:9" x14ac:dyDescent="0.25">
      <c r="A632" t="str">
        <f>"Z1F27DFEFF"</f>
        <v>Z1F27DFEFF</v>
      </c>
      <c r="B632" t="str">
        <f t="shared" ref="B632:B663" si="162">"AC Ravenna - 00085710390"</f>
        <v>AC Ravenna - 00085710390</v>
      </c>
      <c r="C632" t="str">
        <f>"PUBBLICAZIONE GAZZETTA UFFICIALE"</f>
        <v>PUBBLICAZIONE GAZZETTA UFFICIALE</v>
      </c>
      <c r="D632" t="str">
        <f t="shared" si="154"/>
        <v>23-AFFIDAMENTO DIRETTO</v>
      </c>
      <c r="E632" t="str">
        <f>"ISTITUTO POLIGRAFICO DELLO STATO - 00880711007"</f>
        <v>ISTITUTO POLIGRAFICO DELLO STATO - 00880711007</v>
      </c>
      <c r="F632" t="str">
        <f>"ISTITUTO POLIGRAFICO DELLO STATO - 00880711007"</f>
        <v>ISTITUTO POLIGRAFICO DELLO STATO - 00880711007</v>
      </c>
      <c r="G632" t="str">
        <f>"370,00 EUR"</f>
        <v>370,00 EUR</v>
      </c>
      <c r="H632" t="str">
        <f>"03/04/2019 - 03/05/2019"</f>
        <v>03/04/2019 - 03/05/2019</v>
      </c>
      <c r="I632" t="str">
        <f>"370,00 EUR"</f>
        <v>370,00 EUR</v>
      </c>
    </row>
    <row r="633" spans="1:9" x14ac:dyDescent="0.25">
      <c r="A633" t="str">
        <f>"Z7D27DB453"</f>
        <v>Z7D27DB453</v>
      </c>
      <c r="B633" t="str">
        <f t="shared" si="162"/>
        <v>AC Ravenna - 00085710390</v>
      </c>
      <c r="C633" t="str">
        <f>"PUBBLICAZIONE SU QUOTIDIANO LOCALE"</f>
        <v>PUBBLICAZIONE SU QUOTIDIANO LOCALE</v>
      </c>
      <c r="D633" t="str">
        <f t="shared" si="154"/>
        <v>23-AFFIDAMENTO DIRETTO</v>
      </c>
      <c r="E633" t="str">
        <f>"SPE SPA - 00326930377"</f>
        <v>SPE SPA - 00326930377</v>
      </c>
      <c r="F633" t="str">
        <f>"SPE SPA - 00326930377"</f>
        <v>SPE SPA - 00326930377</v>
      </c>
      <c r="G633" t="str">
        <f>"587,00 EUR"</f>
        <v>587,00 EUR</v>
      </c>
      <c r="H633" t="str">
        <f>"02/04/2019 - 02/05/2019"</f>
        <v>02/04/2019 - 02/05/2019</v>
      </c>
      <c r="I633" t="str">
        <f>"587,00 EUR"</f>
        <v>587,00 EUR</v>
      </c>
    </row>
    <row r="634" spans="1:9" x14ac:dyDescent="0.25">
      <c r="A634" t="str">
        <f>"Z2C27D9B8D"</f>
        <v>Z2C27D9B8D</v>
      </c>
      <c r="B634" t="str">
        <f t="shared" si="162"/>
        <v>AC Ravenna - 00085710390</v>
      </c>
      <c r="C634" t="str">
        <f>"ASSISTENZA LEGALE"</f>
        <v>ASSISTENZA LEGALE</v>
      </c>
      <c r="D634" t="str">
        <f t="shared" si="154"/>
        <v>23-AFFIDAMENTO DIRETTO</v>
      </c>
      <c r="E634" t="str">
        <f>"PINAZZA AVV. EMMA - 04348270374"</f>
        <v>PINAZZA AVV. EMMA - 04348270374</v>
      </c>
      <c r="F634" t="str">
        <f>"PINAZZA AVV. EMMA - 04348270374"</f>
        <v>PINAZZA AVV. EMMA - 04348270374</v>
      </c>
      <c r="G634" t="str">
        <f>"250,00 EUR"</f>
        <v>250,00 EUR</v>
      </c>
      <c r="H634" t="str">
        <f>"02/04/2019 - 02/05/2019"</f>
        <v>02/04/2019 - 02/05/2019</v>
      </c>
      <c r="I634" t="str">
        <f>"250,00 EUR"</f>
        <v>250,00 EUR</v>
      </c>
    </row>
    <row r="635" spans="1:9" x14ac:dyDescent="0.25">
      <c r="A635" t="str">
        <f>"Z8427CCCDC"</f>
        <v>Z8427CCCDC</v>
      </c>
      <c r="B635" t="str">
        <f t="shared" si="162"/>
        <v>AC Ravenna - 00085710390</v>
      </c>
      <c r="C635" t="str">
        <f>"STAMPATI"</f>
        <v>STAMPATI</v>
      </c>
      <c r="D635" t="str">
        <f t="shared" si="154"/>
        <v>23-AFFIDAMENTO DIRETTO</v>
      </c>
      <c r="E635" t="str">
        <f>"MAZZANTI PRINTCOLOR SRL - 02091850395"</f>
        <v>MAZZANTI PRINTCOLOR SRL - 02091850395</v>
      </c>
      <c r="F635" t="str">
        <f>"MAZZANTI PRINTCOLOR SRL - 02091850395"</f>
        <v>MAZZANTI PRINTCOLOR SRL - 02091850395</v>
      </c>
      <c r="G635" t="str">
        <f>"170,00 EUR"</f>
        <v>170,00 EUR</v>
      </c>
      <c r="H635" t="str">
        <f>"28/03/2019 - 28/04/2019"</f>
        <v>28/03/2019 - 28/04/2019</v>
      </c>
      <c r="I635" t="str">
        <f>"170,00 EUR"</f>
        <v>170,00 EUR</v>
      </c>
    </row>
    <row r="636" spans="1:9" x14ac:dyDescent="0.25">
      <c r="A636" t="str">
        <f>"ZA327CCC64"</f>
        <v>ZA327CCC64</v>
      </c>
      <c r="B636" t="str">
        <f t="shared" si="162"/>
        <v>AC Ravenna - 00085710390</v>
      </c>
      <c r="C636" t="str">
        <f>"RECAPITO PATENTI"</f>
        <v>RECAPITO PATENTI</v>
      </c>
      <c r="D636" t="str">
        <f t="shared" si="154"/>
        <v>23-AFFIDAMENTO DIRETTO</v>
      </c>
      <c r="E636" t="str">
        <f>"FUTURFIL SRL - 02471780391"</f>
        <v>FUTURFIL SRL - 02471780391</v>
      </c>
      <c r="F636" t="str">
        <f>"FUTURFIL SRL - 02471780391"</f>
        <v>FUTURFIL SRL - 02471780391</v>
      </c>
      <c r="G636" t="str">
        <f>"298,00 EUR"</f>
        <v>298,00 EUR</v>
      </c>
      <c r="H636" t="str">
        <f>"28/03/2019 - 10/04/2019"</f>
        <v>28/03/2019 - 10/04/2019</v>
      </c>
      <c r="I636" t="str">
        <f>"298,00 EUR"</f>
        <v>298,00 EUR</v>
      </c>
    </row>
    <row r="637" spans="1:9" x14ac:dyDescent="0.25">
      <c r="A637" t="str">
        <f>"ZB527CCC57"</f>
        <v>ZB527CCC57</v>
      </c>
      <c r="B637" t="str">
        <f t="shared" si="162"/>
        <v>AC Ravenna - 00085710390</v>
      </c>
      <c r="C637" t="str">
        <f>"RECAPITO SOCI"</f>
        <v>RECAPITO SOCI</v>
      </c>
      <c r="D637" t="str">
        <f t="shared" si="154"/>
        <v>23-AFFIDAMENTO DIRETTO</v>
      </c>
      <c r="E637" t="str">
        <f>"FUTURFIL SRL - 02471780391"</f>
        <v>FUTURFIL SRL - 02471780391</v>
      </c>
      <c r="F637" t="str">
        <f>"FUTURFIL SRL - 02471780391"</f>
        <v>FUTURFIL SRL - 02471780391</v>
      </c>
      <c r="G637" t="str">
        <f>"127,00 EUR"</f>
        <v>127,00 EUR</v>
      </c>
      <c r="H637" t="str">
        <f>"28/03/2019 - 10/04/2019"</f>
        <v>28/03/2019 - 10/04/2019</v>
      </c>
      <c r="I637" t="str">
        <f>"127,00 EUR"</f>
        <v>127,00 EUR</v>
      </c>
    </row>
    <row r="638" spans="1:9" x14ac:dyDescent="0.25">
      <c r="A638" t="str">
        <f>"Z1927CCB79"</f>
        <v>Z1927CCB79</v>
      </c>
      <c r="B638" t="str">
        <f t="shared" si="162"/>
        <v>AC Ravenna - 00085710390</v>
      </c>
      <c r="C638" t="str">
        <f>"MANUTENZIONE CALDAIA"</f>
        <v>MANUTENZIONE CALDAIA</v>
      </c>
      <c r="D638" t="str">
        <f t="shared" si="154"/>
        <v>23-AFFIDAMENTO DIRETTO</v>
      </c>
      <c r="E638" t="str">
        <f>"TERMOGAS SAS - 02327520397"</f>
        <v>TERMOGAS SAS - 02327520397</v>
      </c>
      <c r="F638" t="str">
        <f>"TERMOGAS SAS - 02327520397"</f>
        <v>TERMOGAS SAS - 02327520397</v>
      </c>
      <c r="G638" t="str">
        <f>"90,00 EUR"</f>
        <v>90,00 EUR</v>
      </c>
      <c r="H638" t="str">
        <f>"28/03/2019 - 28/04/2019"</f>
        <v>28/03/2019 - 28/04/2019</v>
      </c>
      <c r="I638" t="str">
        <f>"90,00 EUR"</f>
        <v>90,00 EUR</v>
      </c>
    </row>
    <row r="639" spans="1:9" x14ac:dyDescent="0.25">
      <c r="A639" t="str">
        <f>"Z5027B135C"</f>
        <v>Z5027B135C</v>
      </c>
      <c r="B639" t="str">
        <f t="shared" si="162"/>
        <v>AC Ravenna - 00085710390</v>
      </c>
      <c r="C639" t="str">
        <f>"SERVIZIO ELAB PATENTI"</f>
        <v>SERVIZIO ELAB PATENTI</v>
      </c>
      <c r="D639" t="str">
        <f t="shared" si="154"/>
        <v>23-AFFIDAMENTO DIRETTO</v>
      </c>
      <c r="E639" t="str">
        <f t="shared" ref="E639:F641" si="163">"GAMMA INDIRIZZI SRL - 01048250391"</f>
        <v>GAMMA INDIRIZZI SRL - 01048250391</v>
      </c>
      <c r="F639" t="str">
        <f t="shared" si="163"/>
        <v>GAMMA INDIRIZZI SRL - 01048250391</v>
      </c>
      <c r="G639" t="str">
        <f>"298,00 EUR"</f>
        <v>298,00 EUR</v>
      </c>
      <c r="H639" t="str">
        <f>"21/03/2019 - 10/04/2019"</f>
        <v>21/03/2019 - 10/04/2019</v>
      </c>
      <c r="I639" t="str">
        <f>"298,00 EUR"</f>
        <v>298,00 EUR</v>
      </c>
    </row>
    <row r="640" spans="1:9" x14ac:dyDescent="0.25">
      <c r="A640" t="str">
        <f>"Z9527B1354"</f>
        <v>Z9527B1354</v>
      </c>
      <c r="B640" t="str">
        <f t="shared" si="162"/>
        <v>AC Ravenna - 00085710390</v>
      </c>
      <c r="C640" t="str">
        <f>"SERVIZIO ELAB. SOCI"</f>
        <v>SERVIZIO ELAB. SOCI</v>
      </c>
      <c r="D640" t="str">
        <f t="shared" si="154"/>
        <v>23-AFFIDAMENTO DIRETTO</v>
      </c>
      <c r="E640" t="str">
        <f t="shared" si="163"/>
        <v>GAMMA INDIRIZZI SRL - 01048250391</v>
      </c>
      <c r="F640" t="str">
        <f t="shared" si="163"/>
        <v>GAMMA INDIRIZZI SRL - 01048250391</v>
      </c>
      <c r="G640" t="str">
        <f>"108,00 EUR"</f>
        <v>108,00 EUR</v>
      </c>
      <c r="H640" t="str">
        <f>"21/03/2019 - 10/04/2019"</f>
        <v>21/03/2019 - 10/04/2019</v>
      </c>
      <c r="I640" t="str">
        <f>"108,00 EUR"</f>
        <v>108,00 EUR</v>
      </c>
    </row>
    <row r="641" spans="1:9" x14ac:dyDescent="0.25">
      <c r="A641" t="str">
        <f>"Z0727B134B"</f>
        <v>Z0727B134B</v>
      </c>
      <c r="B641" t="str">
        <f t="shared" si="162"/>
        <v>AC Ravenna - 00085710390</v>
      </c>
      <c r="C641" t="str">
        <f>"SERVIZIO ELAB BOLSE"</f>
        <v>SERVIZIO ELAB BOLSE</v>
      </c>
      <c r="D641" t="str">
        <f t="shared" si="154"/>
        <v>23-AFFIDAMENTO DIRETTO</v>
      </c>
      <c r="E641" t="str">
        <f t="shared" si="163"/>
        <v>GAMMA INDIRIZZI SRL - 01048250391</v>
      </c>
      <c r="F641" t="str">
        <f t="shared" si="163"/>
        <v>GAMMA INDIRIZZI SRL - 01048250391</v>
      </c>
      <c r="G641" t="str">
        <f>"375,00 EUR"</f>
        <v>375,00 EUR</v>
      </c>
      <c r="H641" t="str">
        <f>"21/03/2019 - 10/04/2019"</f>
        <v>21/03/2019 - 10/04/2019</v>
      </c>
      <c r="I641" t="str">
        <f>"375,00 EUR"</f>
        <v>375,00 EUR</v>
      </c>
    </row>
    <row r="642" spans="1:9" x14ac:dyDescent="0.25">
      <c r="A642" t="str">
        <f>"ZA2227B12E"</f>
        <v>ZA2227B12E</v>
      </c>
      <c r="B642" t="str">
        <f t="shared" si="162"/>
        <v>AC Ravenna - 00085710390</v>
      </c>
      <c r="C642" t="str">
        <f>"RECAPITO BOLSE"</f>
        <v>RECAPITO BOLSE</v>
      </c>
      <c r="D642" t="str">
        <f t="shared" si="154"/>
        <v>23-AFFIDAMENTO DIRETTO</v>
      </c>
      <c r="E642" t="str">
        <f>"FUTURFIL SRL - 02471780391"</f>
        <v>FUTURFIL SRL - 02471780391</v>
      </c>
      <c r="F642" t="str">
        <f>"FUTURFIL SRL - 02471780391"</f>
        <v>FUTURFIL SRL - 02471780391</v>
      </c>
      <c r="G642" t="str">
        <f>"541,00 EUR"</f>
        <v>541,00 EUR</v>
      </c>
      <c r="H642" t="str">
        <f>"21/03/2019 - 10/04/2019"</f>
        <v>21/03/2019 - 10/04/2019</v>
      </c>
      <c r="I642" t="str">
        <f>"541,00 EUR"</f>
        <v>541,00 EUR</v>
      </c>
    </row>
    <row r="643" spans="1:9" x14ac:dyDescent="0.25">
      <c r="A643" t="str">
        <f>"Z8E27A5EFF"</f>
        <v>Z8E27A5EFF</v>
      </c>
      <c r="B643" t="str">
        <f t="shared" si="162"/>
        <v>AC Ravenna - 00085710390</v>
      </c>
      <c r="C643" t="str">
        <f>"CANONE MANUTENZIONE SOFTWARE"</f>
        <v>CANONE MANUTENZIONE SOFTWARE</v>
      </c>
      <c r="D643" t="str">
        <f t="shared" si="154"/>
        <v>23-AFFIDAMENTO DIRETTO</v>
      </c>
      <c r="E643" t="str">
        <f>"IMPRESOFT S.R.L. - 03186830240"</f>
        <v>IMPRESOFT S.R.L. - 03186830240</v>
      </c>
      <c r="F643" t="str">
        <f>"IMPRESOFT S.R.L. - 03186830240"</f>
        <v>IMPRESOFT S.R.L. - 03186830240</v>
      </c>
      <c r="G643" t="str">
        <f>"6.671,00 EUR"</f>
        <v>6.671,00 EUR</v>
      </c>
      <c r="H643" t="str">
        <f>"19/03/2019 - 31/12/2019"</f>
        <v>19/03/2019 - 31/12/2019</v>
      </c>
      <c r="I643" t="str">
        <f>"6.671,00 EUR"</f>
        <v>6.671,00 EUR</v>
      </c>
    </row>
    <row r="644" spans="1:9" x14ac:dyDescent="0.25">
      <c r="A644" t="str">
        <f>"Z1227A0C8D"</f>
        <v>Z1227A0C8D</v>
      </c>
      <c r="B644" t="str">
        <f t="shared" si="162"/>
        <v>AC Ravenna - 00085710390</v>
      </c>
      <c r="C644" t="str">
        <f>"CANONE ASSISTENZA HARDWARE"</f>
        <v>CANONE ASSISTENZA HARDWARE</v>
      </c>
      <c r="D644" t="str">
        <f t="shared" si="154"/>
        <v>23-AFFIDAMENTO DIRETTO</v>
      </c>
      <c r="E644" t="str">
        <f>"IMPRESOFT S.R.L. - 03186830240"</f>
        <v>IMPRESOFT S.R.L. - 03186830240</v>
      </c>
      <c r="F644" t="str">
        <f>"IMPRESOFT S.R.L. - 03186830240"</f>
        <v>IMPRESOFT S.R.L. - 03186830240</v>
      </c>
      <c r="G644" t="str">
        <f>"2.358,00 EUR"</f>
        <v>2.358,00 EUR</v>
      </c>
      <c r="H644" t="str">
        <f>"18/03/2019 - 31/12/2019"</f>
        <v>18/03/2019 - 31/12/2019</v>
      </c>
      <c r="I644" t="str">
        <f>"2.358,00 EUR"</f>
        <v>2.358,00 EUR</v>
      </c>
    </row>
    <row r="645" spans="1:9" x14ac:dyDescent="0.25">
      <c r="A645" t="str">
        <f>"ZF8279B583"</f>
        <v>ZF8279B583</v>
      </c>
      <c r="B645" t="str">
        <f t="shared" si="162"/>
        <v>AC Ravenna - 00085710390</v>
      </c>
      <c r="C645" t="str">
        <f>"SERVIZIO ELAB. PATENTI"</f>
        <v>SERVIZIO ELAB. PATENTI</v>
      </c>
      <c r="D645" t="str">
        <f t="shared" si="154"/>
        <v>23-AFFIDAMENTO DIRETTO</v>
      </c>
      <c r="E645" t="str">
        <f t="shared" ref="E645:F647" si="164">"GAMMA INDIRIZZI SRL - 01048250391"</f>
        <v>GAMMA INDIRIZZI SRL - 01048250391</v>
      </c>
      <c r="F645" t="str">
        <f t="shared" si="164"/>
        <v>GAMMA INDIRIZZI SRL - 01048250391</v>
      </c>
      <c r="G645" t="str">
        <f>"90,00 EUR"</f>
        <v>90,00 EUR</v>
      </c>
      <c r="H645" t="str">
        <f>"16/03/2019 - 10/04/2019"</f>
        <v>16/03/2019 - 10/04/2019</v>
      </c>
      <c r="I645" t="str">
        <f>"90,00 EUR"</f>
        <v>90,00 EUR</v>
      </c>
    </row>
    <row r="646" spans="1:9" x14ac:dyDescent="0.25">
      <c r="A646" t="str">
        <f>"Z9D279B57F"</f>
        <v>Z9D279B57F</v>
      </c>
      <c r="B646" t="str">
        <f t="shared" si="162"/>
        <v>AC Ravenna - 00085710390</v>
      </c>
      <c r="C646" t="str">
        <f>"SERVIZIO ELAB. SOCI"</f>
        <v>SERVIZIO ELAB. SOCI</v>
      </c>
      <c r="D646" t="str">
        <f t="shared" si="154"/>
        <v>23-AFFIDAMENTO DIRETTO</v>
      </c>
      <c r="E646" t="str">
        <f t="shared" si="164"/>
        <v>GAMMA INDIRIZZI SRL - 01048250391</v>
      </c>
      <c r="F646" t="str">
        <f t="shared" si="164"/>
        <v>GAMMA INDIRIZZI SRL - 01048250391</v>
      </c>
      <c r="G646" t="str">
        <f>"110,00 EUR"</f>
        <v>110,00 EUR</v>
      </c>
      <c r="H646" t="str">
        <f>"16/03/2019 - 10/04/2019"</f>
        <v>16/03/2019 - 10/04/2019</v>
      </c>
      <c r="I646" t="str">
        <f>"110,00 EUR"</f>
        <v>110,00 EUR</v>
      </c>
    </row>
    <row r="647" spans="1:9" x14ac:dyDescent="0.25">
      <c r="A647" t="str">
        <f>"Z37279B575"</f>
        <v>Z37279B575</v>
      </c>
      <c r="B647" t="str">
        <f t="shared" si="162"/>
        <v>AC Ravenna - 00085710390</v>
      </c>
      <c r="C647" t="str">
        <f>"SERVIZIO ELAB. BOLSE"</f>
        <v>SERVIZIO ELAB. BOLSE</v>
      </c>
      <c r="D647" t="str">
        <f t="shared" si="154"/>
        <v>23-AFFIDAMENTO DIRETTO</v>
      </c>
      <c r="E647" t="str">
        <f t="shared" si="164"/>
        <v>GAMMA INDIRIZZI SRL - 01048250391</v>
      </c>
      <c r="F647" t="str">
        <f t="shared" si="164"/>
        <v>GAMMA INDIRIZZI SRL - 01048250391</v>
      </c>
      <c r="G647" t="str">
        <f>"648,00 EUR"</f>
        <v>648,00 EUR</v>
      </c>
      <c r="H647" t="str">
        <f>"16/03/2019 - 10/04/2019"</f>
        <v>16/03/2019 - 10/04/2019</v>
      </c>
      <c r="I647" t="str">
        <f>"648,00 EUR"</f>
        <v>648,00 EUR</v>
      </c>
    </row>
    <row r="648" spans="1:9" x14ac:dyDescent="0.25">
      <c r="A648" t="str">
        <f>"ZA3278E83C"</f>
        <v>ZA3278E83C</v>
      </c>
      <c r="B648" t="str">
        <f t="shared" si="162"/>
        <v>AC Ravenna - 00085710390</v>
      </c>
      <c r="C648" t="str">
        <f>"CANONE ASSISTENZA SOFTWARE"</f>
        <v>CANONE ASSISTENZA SOFTWARE</v>
      </c>
      <c r="D648" t="str">
        <f t="shared" si="154"/>
        <v>23-AFFIDAMENTO DIRETTO</v>
      </c>
      <c r="E648" t="str">
        <f>"IMPRESOFT S.R.L. - 03186830240"</f>
        <v>IMPRESOFT S.R.L. - 03186830240</v>
      </c>
      <c r="F648" t="str">
        <f>"IMPRESOFT S.R.L. - 03186830240"</f>
        <v>IMPRESOFT S.R.L. - 03186830240</v>
      </c>
      <c r="G648" t="str">
        <f>"2.635,00 EUR"</f>
        <v>2.635,00 EUR</v>
      </c>
      <c r="H648" t="str">
        <f>"13/03/2019 - 31/12/2019"</f>
        <v>13/03/2019 - 31/12/2019</v>
      </c>
      <c r="I648" t="str">
        <f>"2.635,00 EUR"</f>
        <v>2.635,00 EUR</v>
      </c>
    </row>
    <row r="649" spans="1:9" x14ac:dyDescent="0.25">
      <c r="A649" t="str">
        <f>"ZA2278B400"</f>
        <v>ZA2278B400</v>
      </c>
      <c r="B649" t="str">
        <f t="shared" si="162"/>
        <v>AC Ravenna - 00085710390</v>
      </c>
      <c r="C649" t="str">
        <f>"STAMPATI"</f>
        <v>STAMPATI</v>
      </c>
      <c r="D649" t="str">
        <f t="shared" si="154"/>
        <v>23-AFFIDAMENTO DIRETTO</v>
      </c>
      <c r="E649" t="str">
        <f>"MAZZANTI PRINTCOLOR SRL - 02091850395"</f>
        <v>MAZZANTI PRINTCOLOR SRL - 02091850395</v>
      </c>
      <c r="F649" t="str">
        <f>"MAZZANTI PRINTCOLOR SRL - 02091850395"</f>
        <v>MAZZANTI PRINTCOLOR SRL - 02091850395</v>
      </c>
      <c r="G649" t="str">
        <f>"160,00 EUR"</f>
        <v>160,00 EUR</v>
      </c>
      <c r="H649" t="str">
        <f>"12/03/2019 - 12/04/2019"</f>
        <v>12/03/2019 - 12/04/2019</v>
      </c>
      <c r="I649" t="str">
        <f>"160,00 EUR"</f>
        <v>160,00 EUR</v>
      </c>
    </row>
    <row r="650" spans="1:9" x14ac:dyDescent="0.25">
      <c r="A650" t="str">
        <f>"Z0D278B40A"</f>
        <v>Z0D278B40A</v>
      </c>
      <c r="B650" t="str">
        <f t="shared" si="162"/>
        <v>AC Ravenna - 00085710390</v>
      </c>
      <c r="C650" t="str">
        <f>"STAMPATI"</f>
        <v>STAMPATI</v>
      </c>
      <c r="D650" t="str">
        <f t="shared" si="154"/>
        <v>23-AFFIDAMENTO DIRETTO</v>
      </c>
      <c r="E650" t="str">
        <f>"MAZZANTI PRINTCOLOR SRL - 02091850395"</f>
        <v>MAZZANTI PRINTCOLOR SRL - 02091850395</v>
      </c>
      <c r="F650" t="str">
        <f>"MAZZANTI PRINTCOLOR SRL - 02091850395"</f>
        <v>MAZZANTI PRINTCOLOR SRL - 02091850395</v>
      </c>
      <c r="G650" t="str">
        <f>"900,00 EUR"</f>
        <v>900,00 EUR</v>
      </c>
      <c r="H650" t="str">
        <f>"12/03/2019 - 12/04/2019"</f>
        <v>12/03/2019 - 12/04/2019</v>
      </c>
      <c r="I650" t="str">
        <f>"900,00 EUR"</f>
        <v>900,00 EUR</v>
      </c>
    </row>
    <row r="651" spans="1:9" x14ac:dyDescent="0.25">
      <c r="A651" t="str">
        <f>"ZDF278B3C6"</f>
        <v>ZDF278B3C6</v>
      </c>
      <c r="B651" t="str">
        <f t="shared" si="162"/>
        <v>AC Ravenna - 00085710390</v>
      </c>
      <c r="C651" t="str">
        <f>"COMPETENZE INVIO TELEMATICO"</f>
        <v>COMPETENZE INVIO TELEMATICO</v>
      </c>
      <c r="D651" t="str">
        <f t="shared" si="154"/>
        <v>23-AFFIDAMENTO DIRETTO</v>
      </c>
      <c r="E651" t="str">
        <f>"SAYES SC.TRA PROFESSIONISTI - 02550640391"</f>
        <v>SAYES SC.TRA PROFESSIONISTI - 02550640391</v>
      </c>
      <c r="F651" t="str">
        <f>"SAYES SC.TRA PROFESSIONISTI - 02550640391"</f>
        <v>SAYES SC.TRA PROFESSIONISTI - 02550640391</v>
      </c>
      <c r="G651" t="str">
        <f>"550,00 EUR"</f>
        <v>550,00 EUR</v>
      </c>
      <c r="H651" t="str">
        <f>"12/03/2019 - 12/04/2019"</f>
        <v>12/03/2019 - 12/04/2019</v>
      </c>
      <c r="I651" t="str">
        <f>"550,00 EUR"</f>
        <v>550,00 EUR</v>
      </c>
    </row>
    <row r="652" spans="1:9" x14ac:dyDescent="0.25">
      <c r="A652" t="str">
        <f>"Z3B278B3B1"</f>
        <v>Z3B278B3B1</v>
      </c>
      <c r="B652" t="str">
        <f t="shared" si="162"/>
        <v>AC Ravenna - 00085710390</v>
      </c>
      <c r="C652" t="str">
        <f>"SPESE RIUNIONE DELEGATI"</f>
        <v>SPESE RIUNIONE DELEGATI</v>
      </c>
      <c r="D652" t="str">
        <f t="shared" si="154"/>
        <v>23-AFFIDAMENTO DIRETTO</v>
      </c>
      <c r="E652" t="str">
        <f>"DELITIA SRL - 02554030391"</f>
        <v>DELITIA SRL - 02554030391</v>
      </c>
      <c r="F652" t="str">
        <f>"DELITIA SRL - 02554030391"</f>
        <v>DELITIA SRL - 02554030391</v>
      </c>
      <c r="G652" t="str">
        <f>"257,00 EUR"</f>
        <v>257,00 EUR</v>
      </c>
      <c r="H652" t="str">
        <f>"12/03/2019 - 14/03/2019"</f>
        <v>12/03/2019 - 14/03/2019</v>
      </c>
      <c r="I652" t="str">
        <f>"257,00 EUR"</f>
        <v>257,00 EUR</v>
      </c>
    </row>
    <row r="653" spans="1:9" x14ac:dyDescent="0.25">
      <c r="A653" t="str">
        <f>"Z9027693E4"</f>
        <v>Z9027693E4</v>
      </c>
      <c r="B653" t="str">
        <f t="shared" si="162"/>
        <v>AC Ravenna - 00085710390</v>
      </c>
      <c r="C653" t="str">
        <f>"ABBONAMENTO RIVISTA 2019"</f>
        <v>ABBONAMENTO RIVISTA 2019</v>
      </c>
      <c r="D653" t="str">
        <f t="shared" si="154"/>
        <v>23-AFFIDAMENTO DIRETTO</v>
      </c>
      <c r="E653" t="str">
        <f>"IL SOLE 24 ORE SPA - 00777910159"</f>
        <v>IL SOLE 24 ORE SPA - 00777910159</v>
      </c>
      <c r="F653" t="str">
        <f>"IL SOLE 24 ORE SPA - 00777910159"</f>
        <v>IL SOLE 24 ORE SPA - 00777910159</v>
      </c>
      <c r="G653" t="str">
        <f>"349,00 EUR"</f>
        <v>349,00 EUR</v>
      </c>
      <c r="H653" t="str">
        <f>"04/03/2019 - 31/12/2019"</f>
        <v>04/03/2019 - 31/12/2019</v>
      </c>
      <c r="I653" t="str">
        <f>"349,00 EUR"</f>
        <v>349,00 EUR</v>
      </c>
    </row>
    <row r="654" spans="1:9" x14ac:dyDescent="0.25">
      <c r="A654" t="str">
        <f>"ZB92768F41"</f>
        <v>ZB92768F41</v>
      </c>
      <c r="B654" t="str">
        <f t="shared" si="162"/>
        <v>AC Ravenna - 00085710390</v>
      </c>
      <c r="C654" t="str">
        <f>"RECAPITO PATENTI"</f>
        <v>RECAPITO PATENTI</v>
      </c>
      <c r="D654" t="str">
        <f t="shared" si="154"/>
        <v>23-AFFIDAMENTO DIRETTO</v>
      </c>
      <c r="E654" t="str">
        <f t="shared" ref="E654:F656" si="165">"FUTURFIL SRL - 02471780391"</f>
        <v>FUTURFIL SRL - 02471780391</v>
      </c>
      <c r="F654" t="str">
        <f t="shared" si="165"/>
        <v>FUTURFIL SRL - 02471780391</v>
      </c>
      <c r="G654" t="str">
        <f>"360,00 EUR"</f>
        <v>360,00 EUR</v>
      </c>
      <c r="H654" t="str">
        <f>"04/03/2019 - 04/04/2019"</f>
        <v>04/03/2019 - 04/04/2019</v>
      </c>
      <c r="I654" t="str">
        <f>"360,00 EUR"</f>
        <v>360,00 EUR</v>
      </c>
    </row>
    <row r="655" spans="1:9" x14ac:dyDescent="0.25">
      <c r="A655" t="str">
        <f>"Z442768F18"</f>
        <v>Z442768F18</v>
      </c>
      <c r="B655" t="str">
        <f t="shared" si="162"/>
        <v>AC Ravenna - 00085710390</v>
      </c>
      <c r="C655" t="str">
        <f>"RECAPITO BOLSE"</f>
        <v>RECAPITO BOLSE</v>
      </c>
      <c r="D655" t="str">
        <f t="shared" si="154"/>
        <v>23-AFFIDAMENTO DIRETTO</v>
      </c>
      <c r="E655" t="str">
        <f t="shared" si="165"/>
        <v>FUTURFIL SRL - 02471780391</v>
      </c>
      <c r="F655" t="str">
        <f t="shared" si="165"/>
        <v>FUTURFIL SRL - 02471780391</v>
      </c>
      <c r="G655" t="str">
        <f>"964,00 EUR"</f>
        <v>964,00 EUR</v>
      </c>
      <c r="H655" t="str">
        <f>"04/03/2019 - 04/04/2019"</f>
        <v>04/03/2019 - 04/04/2019</v>
      </c>
      <c r="I655" t="str">
        <f>"964,00 EUR"</f>
        <v>964,00 EUR</v>
      </c>
    </row>
    <row r="656" spans="1:9" x14ac:dyDescent="0.25">
      <c r="A656" t="str">
        <f>"ZBF2768EE9"</f>
        <v>ZBF2768EE9</v>
      </c>
      <c r="B656" t="str">
        <f t="shared" si="162"/>
        <v>AC Ravenna - 00085710390</v>
      </c>
      <c r="C656" t="str">
        <f>"RECAPITO SOCI"</f>
        <v>RECAPITO SOCI</v>
      </c>
      <c r="D656" t="str">
        <f t="shared" si="154"/>
        <v>23-AFFIDAMENTO DIRETTO</v>
      </c>
      <c r="E656" t="str">
        <f t="shared" si="165"/>
        <v>FUTURFIL SRL - 02471780391</v>
      </c>
      <c r="F656" t="str">
        <f t="shared" si="165"/>
        <v>FUTURFIL SRL - 02471780391</v>
      </c>
      <c r="G656" t="str">
        <f>"141,00 EUR"</f>
        <v>141,00 EUR</v>
      </c>
      <c r="H656" t="str">
        <f>"04/03/2019 - 04/04/2019"</f>
        <v>04/03/2019 - 04/04/2019</v>
      </c>
      <c r="I656" t="str">
        <f>"141,00 EUR"</f>
        <v>141,00 EUR</v>
      </c>
    </row>
    <row r="657" spans="1:9" x14ac:dyDescent="0.25">
      <c r="A657" t="str">
        <f>"Z1A2701E64"</f>
        <v>Z1A2701E64</v>
      </c>
      <c r="B657" t="str">
        <f t="shared" si="162"/>
        <v>AC Ravenna - 00085710390</v>
      </c>
      <c r="C657" t="str">
        <f>"CARBURANTE RISCALDAMENTO"</f>
        <v>CARBURANTE RISCALDAMENTO</v>
      </c>
      <c r="D657" t="str">
        <f t="shared" si="154"/>
        <v>23-AFFIDAMENTO DIRETTO</v>
      </c>
      <c r="E657" t="str">
        <f>"ENI FUEL - 02701740108"</f>
        <v>ENI FUEL - 02701740108</v>
      </c>
      <c r="F657" t="str">
        <f>"ENI FUEL - 02701740108"</f>
        <v>ENI FUEL - 02701740108</v>
      </c>
      <c r="G657" t="str">
        <f>"1.800,00 EUR"</f>
        <v>1.800,00 EUR</v>
      </c>
      <c r="H657" t="str">
        <f>"05/02/2019 - 10/02/2019"</f>
        <v>05/02/2019 - 10/02/2019</v>
      </c>
      <c r="I657" t="str">
        <f>"1.800,00 EUR"</f>
        <v>1.800,00 EUR</v>
      </c>
    </row>
    <row r="658" spans="1:9" x14ac:dyDescent="0.25">
      <c r="A658" t="str">
        <f>"ZF126EA6F9"</f>
        <v>ZF126EA6F9</v>
      </c>
      <c r="B658" t="str">
        <f t="shared" si="162"/>
        <v>AC Ravenna - 00085710390</v>
      </c>
      <c r="C658" t="str">
        <f>"MANUTENZIONE CONDIZIONATORE"</f>
        <v>MANUTENZIONE CONDIZIONATORE</v>
      </c>
      <c r="D658" t="str">
        <f t="shared" si="154"/>
        <v>23-AFFIDAMENTO DIRETTO</v>
      </c>
      <c r="E658" t="str">
        <f>"NILO TERMOIDRAULICA SRL - 02500700394"</f>
        <v>NILO TERMOIDRAULICA SRL - 02500700394</v>
      </c>
      <c r="F658" t="str">
        <f>"NILO TERMOIDRAULICA SRL - 02500700394"</f>
        <v>NILO TERMOIDRAULICA SRL - 02500700394</v>
      </c>
      <c r="G658" t="str">
        <f>"375,00 EUR"</f>
        <v>375,00 EUR</v>
      </c>
      <c r="H658" t="str">
        <f>"29/01/2019 - 28/02/2019"</f>
        <v>29/01/2019 - 28/02/2019</v>
      </c>
      <c r="I658" t="str">
        <f>"375,00 EUR"</f>
        <v>375,00 EUR</v>
      </c>
    </row>
    <row r="659" spans="1:9" x14ac:dyDescent="0.25">
      <c r="A659" t="str">
        <f>"Z9426E7D3D"</f>
        <v>Z9426E7D3D</v>
      </c>
      <c r="B659" t="str">
        <f t="shared" si="162"/>
        <v>AC Ravenna - 00085710390</v>
      </c>
      <c r="C659" t="str">
        <f>"ASSISTENZA OROLOGIO MARCATEMPO"</f>
        <v>ASSISTENZA OROLOGIO MARCATEMPO</v>
      </c>
      <c r="D659" t="str">
        <f t="shared" si="154"/>
        <v>23-AFFIDAMENTO DIRETTO</v>
      </c>
      <c r="E659" t="str">
        <f>"ELCO SISTEMI SRL - 03246960409"</f>
        <v>ELCO SISTEMI SRL - 03246960409</v>
      </c>
      <c r="F659" t="str">
        <f>"ELCO SISTEMI SRL - 03246960409"</f>
        <v>ELCO SISTEMI SRL - 03246960409</v>
      </c>
      <c r="G659" t="str">
        <f>"122,00 EUR"</f>
        <v>122,00 EUR</v>
      </c>
      <c r="H659" t="str">
        <f>"29/01/2019 - 28/02/2019"</f>
        <v>29/01/2019 - 28/02/2019</v>
      </c>
      <c r="I659" t="str">
        <f>"122,00 EUR"</f>
        <v>122,00 EUR</v>
      </c>
    </row>
    <row r="660" spans="1:9" x14ac:dyDescent="0.25">
      <c r="A660" t="str">
        <f>"Z8526E6B78"</f>
        <v>Z8526E6B78</v>
      </c>
      <c r="B660" t="str">
        <f t="shared" si="162"/>
        <v>AC Ravenna - 00085710390</v>
      </c>
      <c r="C660" t="str">
        <f>"RECAPITO BOLSE"</f>
        <v>RECAPITO BOLSE</v>
      </c>
      <c r="D660" t="str">
        <f t="shared" si="154"/>
        <v>23-AFFIDAMENTO DIRETTO</v>
      </c>
      <c r="E660" t="str">
        <f t="shared" ref="E660:F662" si="166">"FUTURFIL SRL - 02471780391"</f>
        <v>FUTURFIL SRL - 02471780391</v>
      </c>
      <c r="F660" t="str">
        <f t="shared" si="166"/>
        <v>FUTURFIL SRL - 02471780391</v>
      </c>
      <c r="G660" t="str">
        <f>"567,00 EUR"</f>
        <v>567,00 EUR</v>
      </c>
      <c r="H660" t="str">
        <f t="shared" ref="H660:H665" si="167">"29/01/2019 - 10/02/2019"</f>
        <v>29/01/2019 - 10/02/2019</v>
      </c>
      <c r="I660" t="str">
        <f>"567,00 EUR"</f>
        <v>567,00 EUR</v>
      </c>
    </row>
    <row r="661" spans="1:9" x14ac:dyDescent="0.25">
      <c r="A661" t="str">
        <f>"ZEB26E6B82"</f>
        <v>ZEB26E6B82</v>
      </c>
      <c r="B661" t="str">
        <f t="shared" si="162"/>
        <v>AC Ravenna - 00085710390</v>
      </c>
      <c r="C661" t="str">
        <f>"RECAPITO SOCI"</f>
        <v>RECAPITO SOCI</v>
      </c>
      <c r="D661" t="str">
        <f t="shared" si="154"/>
        <v>23-AFFIDAMENTO DIRETTO</v>
      </c>
      <c r="E661" t="str">
        <f t="shared" si="166"/>
        <v>FUTURFIL SRL - 02471780391</v>
      </c>
      <c r="F661" t="str">
        <f t="shared" si="166"/>
        <v>FUTURFIL SRL - 02471780391</v>
      </c>
      <c r="G661" t="str">
        <f>"145,00 EUR"</f>
        <v>145,00 EUR</v>
      </c>
      <c r="H661" t="str">
        <f t="shared" si="167"/>
        <v>29/01/2019 - 10/02/2019</v>
      </c>
      <c r="I661" t="str">
        <f>"145,00 EUR"</f>
        <v>145,00 EUR</v>
      </c>
    </row>
    <row r="662" spans="1:9" x14ac:dyDescent="0.25">
      <c r="A662" t="str">
        <f>"Z7726E2B9E"</f>
        <v>Z7726E2B9E</v>
      </c>
      <c r="B662" t="str">
        <f t="shared" si="162"/>
        <v>AC Ravenna - 00085710390</v>
      </c>
      <c r="C662" t="str">
        <f>"RECAPITO PATENTI"</f>
        <v>RECAPITO PATENTI</v>
      </c>
      <c r="D662" t="str">
        <f t="shared" si="154"/>
        <v>23-AFFIDAMENTO DIRETTO</v>
      </c>
      <c r="E662" t="str">
        <f t="shared" si="166"/>
        <v>FUTURFIL SRL - 02471780391</v>
      </c>
      <c r="F662" t="str">
        <f t="shared" si="166"/>
        <v>FUTURFIL SRL - 02471780391</v>
      </c>
      <c r="G662" t="str">
        <f>"310,00 EUR"</f>
        <v>310,00 EUR</v>
      </c>
      <c r="H662" t="str">
        <f t="shared" si="167"/>
        <v>29/01/2019 - 10/02/2019</v>
      </c>
      <c r="I662" t="str">
        <f>"310,00 EUR"</f>
        <v>310,00 EUR</v>
      </c>
    </row>
    <row r="663" spans="1:9" x14ac:dyDescent="0.25">
      <c r="A663" t="str">
        <f>"Z3D26E6BAC"</f>
        <v>Z3D26E6BAC</v>
      </c>
      <c r="B663" t="str">
        <f t="shared" si="162"/>
        <v>AC Ravenna - 00085710390</v>
      </c>
      <c r="C663" t="str">
        <f>"SERVIZIO ELAB. BOLSE"</f>
        <v>SERVIZIO ELAB. BOLSE</v>
      </c>
      <c r="D663" t="str">
        <f t="shared" si="154"/>
        <v>23-AFFIDAMENTO DIRETTO</v>
      </c>
      <c r="E663" t="str">
        <f t="shared" ref="E663:F665" si="168">"GAMMA INDIRIZZI SRL - 01048250391"</f>
        <v>GAMMA INDIRIZZI SRL - 01048250391</v>
      </c>
      <c r="F663" t="str">
        <f t="shared" si="168"/>
        <v>GAMMA INDIRIZZI SRL - 01048250391</v>
      </c>
      <c r="G663" t="str">
        <f>"392,00 EUR"</f>
        <v>392,00 EUR</v>
      </c>
      <c r="H663" t="str">
        <f t="shared" si="167"/>
        <v>29/01/2019 - 10/02/2019</v>
      </c>
      <c r="I663" t="str">
        <f>"392,00 EUR"</f>
        <v>392,00 EUR</v>
      </c>
    </row>
    <row r="664" spans="1:9" x14ac:dyDescent="0.25">
      <c r="A664" t="str">
        <f>"Z8626E6BBD"</f>
        <v>Z8626E6BBD</v>
      </c>
      <c r="B664" t="str">
        <f t="shared" ref="B664:B669" si="169">"AC Ravenna - 00085710390"</f>
        <v>AC Ravenna - 00085710390</v>
      </c>
      <c r="C664" t="str">
        <f>"SERVIZIO ELAB. SOCI"</f>
        <v>SERVIZIO ELAB. SOCI</v>
      </c>
      <c r="D664" t="str">
        <f t="shared" si="154"/>
        <v>23-AFFIDAMENTO DIRETTO</v>
      </c>
      <c r="E664" t="str">
        <f t="shared" si="168"/>
        <v>GAMMA INDIRIZZI SRL - 01048250391</v>
      </c>
      <c r="F664" t="str">
        <f t="shared" si="168"/>
        <v>GAMMA INDIRIZZI SRL - 01048250391</v>
      </c>
      <c r="G664" t="str">
        <f>"107,00 EUR"</f>
        <v>107,00 EUR</v>
      </c>
      <c r="H664" t="str">
        <f t="shared" si="167"/>
        <v>29/01/2019 - 10/02/2019</v>
      </c>
      <c r="I664" t="str">
        <f>"107,00 EUR"</f>
        <v>107,00 EUR</v>
      </c>
    </row>
    <row r="665" spans="1:9" x14ac:dyDescent="0.25">
      <c r="A665" t="str">
        <f>"Z9C26E6BV9"</f>
        <v>Z9C26E6BV9</v>
      </c>
      <c r="B665" t="str">
        <f t="shared" si="169"/>
        <v>AC Ravenna - 00085710390</v>
      </c>
      <c r="C665" t="str">
        <f>"SERVIZIO ELAB. PANTENTI"</f>
        <v>SERVIZIO ELAB. PANTENTI</v>
      </c>
      <c r="D665" t="str">
        <f t="shared" si="154"/>
        <v>23-AFFIDAMENTO DIRETTO</v>
      </c>
      <c r="E665" t="str">
        <f t="shared" si="168"/>
        <v>GAMMA INDIRIZZI SRL - 01048250391</v>
      </c>
      <c r="F665" t="str">
        <f t="shared" si="168"/>
        <v>GAMMA INDIRIZZI SRL - 01048250391</v>
      </c>
      <c r="G665" t="str">
        <f>"79,00 EUR"</f>
        <v>79,00 EUR</v>
      </c>
      <c r="H665" t="str">
        <f t="shared" si="167"/>
        <v>29/01/2019 - 10/02/2019</v>
      </c>
      <c r="I665" t="str">
        <f>"79,00 EUR"</f>
        <v>79,00 EUR</v>
      </c>
    </row>
    <row r="666" spans="1:9" x14ac:dyDescent="0.25">
      <c r="A666" t="str">
        <f>"ZD2269F07C"</f>
        <v>ZD2269F07C</v>
      </c>
      <c r="B666" t="str">
        <f t="shared" si="169"/>
        <v>AC Ravenna - 00085710390</v>
      </c>
      <c r="C666" t="str">
        <f>"ABBONAMENTO QUOTIDIANO 2019"</f>
        <v>ABBONAMENTO QUOTIDIANO 2019</v>
      </c>
      <c r="D666" t="str">
        <f t="shared" si="154"/>
        <v>23-AFFIDAMENTO DIRETTO</v>
      </c>
      <c r="E666" t="str">
        <f>"IL SOLE 24 ORE SPA - 00777910159"</f>
        <v>IL SOLE 24 ORE SPA - 00777910159</v>
      </c>
      <c r="F666" t="str">
        <f>"IL SOLE 24 ORE SPA - 00777910159"</f>
        <v>IL SOLE 24 ORE SPA - 00777910159</v>
      </c>
      <c r="G666" t="str">
        <f>"180,00 EUR"</f>
        <v>180,00 EUR</v>
      </c>
      <c r="H666" t="str">
        <f>"08/01/2019 - 31/12/2019"</f>
        <v>08/01/2019 - 31/12/2019</v>
      </c>
      <c r="I666" t="str">
        <f>"180,00 EUR"</f>
        <v>180,00 EUR</v>
      </c>
    </row>
    <row r="667" spans="1:9" x14ac:dyDescent="0.25">
      <c r="A667" t="str">
        <f>"Z022698089"</f>
        <v>Z022698089</v>
      </c>
      <c r="B667" t="str">
        <f t="shared" si="169"/>
        <v>AC Ravenna - 00085710390</v>
      </c>
      <c r="C667" t="str">
        <f>"CARTUCCIA AFFRANCATRICE"</f>
        <v>CARTUCCIA AFFRANCATRICE</v>
      </c>
      <c r="D667" t="str">
        <f t="shared" si="154"/>
        <v>23-AFFIDAMENTO DIRETTO</v>
      </c>
      <c r="E667" t="str">
        <f>"NEOPOST RENTAL ITALIA SRL - 05448770965"</f>
        <v>NEOPOST RENTAL ITALIA SRL - 05448770965</v>
      </c>
      <c r="F667" t="str">
        <f>"NEOPOST RENTAL ITALIA SRL - 05448770965"</f>
        <v>NEOPOST RENTAL ITALIA SRL - 05448770965</v>
      </c>
      <c r="G667" t="str">
        <f>"215,00 EUR"</f>
        <v>215,00 EUR</v>
      </c>
      <c r="H667" t="str">
        <f>"07/01/2019 - 07/02/2019"</f>
        <v>07/01/2019 - 07/02/2019</v>
      </c>
      <c r="I667" t="str">
        <f>"215,00 EUR"</f>
        <v>215,00 EUR</v>
      </c>
    </row>
    <row r="668" spans="1:9" x14ac:dyDescent="0.25">
      <c r="A668" t="str">
        <f>"Z7D269A59C"</f>
        <v>Z7D269A59C</v>
      </c>
      <c r="B668" t="str">
        <f t="shared" si="169"/>
        <v>AC Ravenna - 00085710390</v>
      </c>
      <c r="C668" t="str">
        <f>"ABBONAMENTO EGAF 2019"</f>
        <v>ABBONAMENTO EGAF 2019</v>
      </c>
      <c r="D668" t="str">
        <f t="shared" si="154"/>
        <v>23-AFFIDAMENTO DIRETTO</v>
      </c>
      <c r="E668" t="str">
        <f>"EGAF EDIZIONI SRL - 02259990402"</f>
        <v>EGAF EDIZIONI SRL - 02259990402</v>
      </c>
      <c r="F668" t="str">
        <f>"EGAF EDIZIONI SRL - 02259990402"</f>
        <v>EGAF EDIZIONI SRL - 02259990402</v>
      </c>
      <c r="G668" t="str">
        <f>"206,00 EUR"</f>
        <v>206,00 EUR</v>
      </c>
      <c r="H668" t="str">
        <f>"07/01/2019 - 31/01/2019"</f>
        <v>07/01/2019 - 31/01/2019</v>
      </c>
      <c r="I668" t="str">
        <f>"206,00 EUR"</f>
        <v>206,00 EUR</v>
      </c>
    </row>
    <row r="669" spans="1:9" x14ac:dyDescent="0.25">
      <c r="A669" t="str">
        <f>"ZEE269A5AC"</f>
        <v>ZEE269A5AC</v>
      </c>
      <c r="B669" t="str">
        <f t="shared" si="169"/>
        <v>AC Ravenna - 00085710390</v>
      </c>
      <c r="C669" t="str">
        <f>"FORNITURA CANCELLERIA"</f>
        <v>FORNITURA CANCELLERIA</v>
      </c>
      <c r="D669" t="str">
        <f t="shared" si="154"/>
        <v>23-AFFIDAMENTO DIRETTO</v>
      </c>
      <c r="E669" t="str">
        <f>"EUROPA SYSTEM SRL - 02060730401"</f>
        <v>EUROPA SYSTEM SRL - 02060730401</v>
      </c>
      <c r="F669" t="str">
        <f>"EUROPA SYSTEM SRL - 02060730401"</f>
        <v>EUROPA SYSTEM SRL - 02060730401</v>
      </c>
      <c r="G669" t="str">
        <f>"133,00 EUR"</f>
        <v>133,00 EUR</v>
      </c>
      <c r="H669" t="str">
        <f>"07/01/2019 - 07/02/2019"</f>
        <v>07/01/2019 - 07/02/2019</v>
      </c>
      <c r="I669" t="str">
        <f>"133,00 EUR"</f>
        <v>133,00 EUR</v>
      </c>
    </row>
    <row r="670" spans="1:9" x14ac:dyDescent="0.25">
      <c r="A670" t="str">
        <f>"Z4D2DA918F"</f>
        <v>Z4D2DA918F</v>
      </c>
      <c r="B670" t="str">
        <f>"Automobile Club di Ravenna (ACRavenna) - 00085710390"</f>
        <v>Automobile Club di Ravenna (ACRavenna) - 00085710390</v>
      </c>
      <c r="C670" t="str">
        <f>"Riparazione climatizzatore"</f>
        <v>Riparazione climatizzatore</v>
      </c>
      <c r="D670" t="str">
        <f t="shared" ref="D670:D733" si="170">"23-AFFIDAMENTO DIRETTO"</f>
        <v>23-AFFIDAMENTO DIRETTO</v>
      </c>
      <c r="E670" t="str">
        <f>"IDROCLIMA SRL - 02463500401"</f>
        <v>IDROCLIMA SRL - 02463500401</v>
      </c>
      <c r="F670" t="str">
        <f>"IDROCLIMA SRL - 02463500401"</f>
        <v>IDROCLIMA SRL - 02463500401</v>
      </c>
      <c r="G670" t="str">
        <f>"45,00 EUR"</f>
        <v>45,00 EUR</v>
      </c>
      <c r="H670" t="str">
        <f>"14/07/2020 - 20/07/2020"</f>
        <v>14/07/2020 - 20/07/2020</v>
      </c>
      <c r="I670" t="str">
        <f>"45,00 EUR"</f>
        <v>45,00 EUR</v>
      </c>
    </row>
    <row r="671" spans="1:9" x14ac:dyDescent="0.25">
      <c r="A671" t="str">
        <f>"Z081272419"</f>
        <v>Z081272419</v>
      </c>
      <c r="B671" t="str">
        <f t="shared" ref="B671:B702" si="171">"AC Ravenna - 00085710390"</f>
        <v>AC Ravenna - 00085710390</v>
      </c>
      <c r="C671" t="str">
        <f>"Gasolio riscaldamento"</f>
        <v>Gasolio riscaldamento</v>
      </c>
      <c r="D671" t="str">
        <f t="shared" si="170"/>
        <v>23-AFFIDAMENTO DIRETTO</v>
      </c>
      <c r="E671" t="str">
        <f>"BRONCHI COMBUSTIBILI SRL - 01252710403"</f>
        <v>BRONCHI COMBUSTIBILI SRL - 01252710403</v>
      </c>
      <c r="F671" t="str">
        <f>"BRONCHI COMBUSTIBILI SRL - 01252710403"</f>
        <v>BRONCHI COMBUSTIBILI SRL - 01252710403</v>
      </c>
      <c r="G671" t="str">
        <f>"1.733,00 EUR"</f>
        <v>1.733,00 EUR</v>
      </c>
      <c r="H671" t="str">
        <f>"12/12/2014 - 03/02/2015"</f>
        <v>12/12/2014 - 03/02/2015</v>
      </c>
      <c r="I671" t="str">
        <f>"1.733,00 EUR"</f>
        <v>1.733,00 EUR</v>
      </c>
    </row>
    <row r="672" spans="1:9" x14ac:dyDescent="0.25">
      <c r="A672" t="str">
        <f>"ZAE0E53207"</f>
        <v>ZAE0E53207</v>
      </c>
      <c r="B672" t="str">
        <f t="shared" si="171"/>
        <v>AC Ravenna - 00085710390</v>
      </c>
      <c r="C672" t="str">
        <f>"Modulistica"</f>
        <v>Modulistica</v>
      </c>
      <c r="D672" t="str">
        <f t="shared" si="170"/>
        <v>23-AFFIDAMENTO DIRETTO</v>
      </c>
      <c r="E672" t="str">
        <f>"TIPOLITOGRAFIA MAZZANTI S.r.l. - 02091850392"</f>
        <v>TIPOLITOGRAFIA MAZZANTI S.r.l. - 02091850392</v>
      </c>
      <c r="F672" t="str">
        <f>"TIPOLITOGRAFIA MAZZANTI S.r.l. - 02091850392"</f>
        <v>TIPOLITOGRAFIA MAZZANTI S.r.l. - 02091850392</v>
      </c>
      <c r="G672" t="str">
        <f>"133,00 EUR"</f>
        <v>133,00 EUR</v>
      </c>
      <c r="H672" t="str">
        <f>"18/03/2014 - 30/07/2014"</f>
        <v>18/03/2014 - 30/07/2014</v>
      </c>
      <c r="I672" t="str">
        <f>"133,00 EUR"</f>
        <v>133,00 EUR</v>
      </c>
    </row>
    <row r="673" spans="1:9" x14ac:dyDescent="0.25">
      <c r="A673" t="str">
        <f>"ZCB1286F1C"</f>
        <v>ZCB1286F1C</v>
      </c>
      <c r="B673" t="str">
        <f t="shared" si="171"/>
        <v>AC Ravenna - 00085710390</v>
      </c>
      <c r="C673" t="str">
        <f>"Assist.hardware"</f>
        <v>Assist.hardware</v>
      </c>
      <c r="D673" t="str">
        <f t="shared" si="170"/>
        <v>23-AFFIDAMENTO DIRETTO</v>
      </c>
      <c r="E673" t="str">
        <f>"HARVARD SERVICE S.r.l. - 02054730409"</f>
        <v>HARVARD SERVICE S.r.l. - 02054730409</v>
      </c>
      <c r="F673" t="str">
        <f>"HARVARD SERVICE S.r.l. - 02054730409"</f>
        <v>HARVARD SERVICE S.r.l. - 02054730409</v>
      </c>
      <c r="G673" t="str">
        <f>"200,00 EUR"</f>
        <v>200,00 EUR</v>
      </c>
      <c r="H673" t="str">
        <f>"30/12/2014 - 02/02/2015"</f>
        <v>30/12/2014 - 02/02/2015</v>
      </c>
      <c r="I673" t="str">
        <f>"200,00 EUR"</f>
        <v>200,00 EUR</v>
      </c>
    </row>
    <row r="674" spans="1:9" x14ac:dyDescent="0.25">
      <c r="A674" t="str">
        <f>"ZF71284315"</f>
        <v>ZF71284315</v>
      </c>
      <c r="B674" t="str">
        <f t="shared" si="171"/>
        <v>AC Ravenna - 00085710390</v>
      </c>
      <c r="C674" t="str">
        <f>"Pulizie Locali"</f>
        <v>Pulizie Locali</v>
      </c>
      <c r="D674" t="str">
        <f t="shared" si="170"/>
        <v>23-AFFIDAMENTO DIRETTO</v>
      </c>
      <c r="E674" t="str">
        <f>"CENTRO IGIENE S.r.l. - 02368400392"</f>
        <v>CENTRO IGIENE S.r.l. - 02368400392</v>
      </c>
      <c r="F674" t="str">
        <f>"CENTRO IGIENE S.r.l. - 02368400392"</f>
        <v>CENTRO IGIENE S.r.l. - 02368400392</v>
      </c>
      <c r="G674" t="str">
        <f>"1.375,00 EUR"</f>
        <v>1.375,00 EUR</v>
      </c>
      <c r="H674" t="str">
        <f>"29/12/2014 - 12/01/2015"</f>
        <v>29/12/2014 - 12/01/2015</v>
      </c>
      <c r="I674" t="str">
        <f>"1.375,00 EUR"</f>
        <v>1.375,00 EUR</v>
      </c>
    </row>
    <row r="675" spans="1:9" x14ac:dyDescent="0.25">
      <c r="A675" t="str">
        <f>"Z631259BED"</f>
        <v>Z631259BED</v>
      </c>
      <c r="B675" t="str">
        <f t="shared" si="171"/>
        <v>AC Ravenna - 00085710390</v>
      </c>
      <c r="C675" t="str">
        <f>"Acquisto software"</f>
        <v>Acquisto software</v>
      </c>
      <c r="D675" t="str">
        <f t="shared" si="170"/>
        <v>23-AFFIDAMENTO DIRETTO</v>
      </c>
      <c r="E675" t="str">
        <f>"HARVARD GROUP S.r.l. - 02254110402"</f>
        <v>HARVARD GROUP S.r.l. - 02254110402</v>
      </c>
      <c r="F675" t="str">
        <f>"HARVARD GROUP S.r.l. - 02254110402"</f>
        <v>HARVARD GROUP S.r.l. - 02254110402</v>
      </c>
      <c r="G675" t="str">
        <f>"945,00 EUR"</f>
        <v>945,00 EUR</v>
      </c>
      <c r="H675" t="str">
        <f>"17/12/2014 - 28/02/2015"</f>
        <v>17/12/2014 - 28/02/2015</v>
      </c>
      <c r="I675" t="str">
        <f>"945,00 EUR"</f>
        <v>945,00 EUR</v>
      </c>
    </row>
    <row r="676" spans="1:9" x14ac:dyDescent="0.25">
      <c r="A676" t="str">
        <f>"Z3C12161C3"</f>
        <v>Z3C12161C3</v>
      </c>
      <c r="B676" t="str">
        <f t="shared" si="171"/>
        <v>AC Ravenna - 00085710390</v>
      </c>
      <c r="C676" t="str">
        <f>"Pulizie Locali"</f>
        <v>Pulizie Locali</v>
      </c>
      <c r="D676" t="str">
        <f t="shared" si="170"/>
        <v>23-AFFIDAMENTO DIRETTO</v>
      </c>
      <c r="E676" t="str">
        <f>"CENTRO IGIENE S.r.l. - 02368400392"</f>
        <v>CENTRO IGIENE S.r.l. - 02368400392</v>
      </c>
      <c r="F676" t="str">
        <f>"CENTRO IGIENE S.r.l. - 02368400392"</f>
        <v>CENTRO IGIENE S.r.l. - 02368400392</v>
      </c>
      <c r="G676" t="str">
        <f>"1.375,00 EUR"</f>
        <v>1.375,00 EUR</v>
      </c>
      <c r="H676" t="str">
        <f>"04/12/2014 - 12/12/2014"</f>
        <v>04/12/2014 - 12/12/2014</v>
      </c>
      <c r="I676" t="str">
        <f>"1.375,00 EUR"</f>
        <v>1.375,00 EUR</v>
      </c>
    </row>
    <row r="677" spans="1:9" x14ac:dyDescent="0.25">
      <c r="A677" t="str">
        <f>"Z8111FB34E"</f>
        <v>Z8111FB34E</v>
      </c>
      <c r="B677" t="str">
        <f t="shared" si="171"/>
        <v>AC Ravenna - 00085710390</v>
      </c>
      <c r="C677" t="str">
        <f>"Servizio spedizioni"</f>
        <v>Servizio spedizioni</v>
      </c>
      <c r="D677" t="str">
        <f t="shared" si="170"/>
        <v>23-AFFIDAMENTO DIRETTO</v>
      </c>
      <c r="E677" t="str">
        <f>"GAMMA INDIRIZZI SRL - 01048250391"</f>
        <v>GAMMA INDIRIZZI SRL - 01048250391</v>
      </c>
      <c r="F677" t="str">
        <f>"GAMMA INDIRIZZI SRL - 01048250391"</f>
        <v>GAMMA INDIRIZZI SRL - 01048250391</v>
      </c>
      <c r="G677" t="str">
        <f>"1.227,00 EUR"</f>
        <v>1.227,00 EUR</v>
      </c>
      <c r="H677" t="str">
        <f>"28/11/2014 - 29/12/2014"</f>
        <v>28/11/2014 - 29/12/2014</v>
      </c>
      <c r="I677" t="str">
        <f>"1.227,00 EUR"</f>
        <v>1.227,00 EUR</v>
      </c>
    </row>
    <row r="678" spans="1:9" x14ac:dyDescent="0.25">
      <c r="A678" t="str">
        <f>"ZB211C88EB"</f>
        <v>ZB211C88EB</v>
      </c>
      <c r="B678" t="str">
        <f t="shared" si="171"/>
        <v>AC Ravenna - 00085710390</v>
      </c>
      <c r="C678" t="str">
        <f>"Manut.Attrezzature"</f>
        <v>Manut.Attrezzature</v>
      </c>
      <c r="D678" t="str">
        <f t="shared" si="170"/>
        <v>23-AFFIDAMENTO DIRETTO</v>
      </c>
      <c r="E678" t="str">
        <f>"PI.ENNE.SIC.SAS - 03123880407"</f>
        <v>PI.ENNE.SIC.SAS - 03123880407</v>
      </c>
      <c r="F678" t="str">
        <f>"PI.ENNE.SIC.SAS - 03123880407"</f>
        <v>PI.ENNE.SIC.SAS - 03123880407</v>
      </c>
      <c r="G678" t="str">
        <f>"560,00 EUR"</f>
        <v>560,00 EUR</v>
      </c>
      <c r="H678" t="str">
        <f>"18/11/2014 - 29/12/2014"</f>
        <v>18/11/2014 - 29/12/2014</v>
      </c>
      <c r="I678" t="str">
        <f>"560,00 EUR"</f>
        <v>560,00 EUR</v>
      </c>
    </row>
    <row r="679" spans="1:9" x14ac:dyDescent="0.25">
      <c r="A679" t="str">
        <f>"Z1C1187C55"</f>
        <v>Z1C1187C55</v>
      </c>
      <c r="B679" t="str">
        <f t="shared" si="171"/>
        <v>AC Ravenna - 00085710390</v>
      </c>
      <c r="C679" t="str">
        <f>"Manut.Immobile"</f>
        <v>Manut.Immobile</v>
      </c>
      <c r="D679" t="str">
        <f t="shared" si="170"/>
        <v>23-AFFIDAMENTO DIRETTO</v>
      </c>
      <c r="E679" t="str">
        <f>"MORGAGNI BENIAMINO - MRGBMN61C31H199N"</f>
        <v>MORGAGNI BENIAMINO - MRGBMN61C31H199N</v>
      </c>
      <c r="F679" t="str">
        <f>"MORGAGNI BENIAMINO - MRGBMN61C31H199N"</f>
        <v>MORGAGNI BENIAMINO - MRGBMN61C31H199N</v>
      </c>
      <c r="G679" t="str">
        <f>"865,00 EUR"</f>
        <v>865,00 EUR</v>
      </c>
      <c r="H679" t="str">
        <f>"03/11/2014 - 28/11/2014"</f>
        <v>03/11/2014 - 28/11/2014</v>
      </c>
      <c r="I679" t="str">
        <f>"865,00 EUR"</f>
        <v>865,00 EUR</v>
      </c>
    </row>
    <row r="680" spans="1:9" x14ac:dyDescent="0.25">
      <c r="A680" t="str">
        <f>"ZBC117CEC6"</f>
        <v>ZBC117CEC6</v>
      </c>
      <c r="B680" t="str">
        <f t="shared" si="171"/>
        <v>AC Ravenna - 00085710390</v>
      </c>
      <c r="C680" t="str">
        <f>"Manut. Immobile"</f>
        <v>Manut. Immobile</v>
      </c>
      <c r="D680" t="str">
        <f t="shared" si="170"/>
        <v>23-AFFIDAMENTO DIRETTO</v>
      </c>
      <c r="E680" t="str">
        <f>"BACCHETTA GAETANO - BCCGTN67L23H199I"</f>
        <v>BACCHETTA GAETANO - BCCGTN67L23H199I</v>
      </c>
      <c r="F680" t="str">
        <f>"BACCHETTA GAETANO - BCCGTN67L23H199I"</f>
        <v>BACCHETTA GAETANO - BCCGTN67L23H199I</v>
      </c>
      <c r="G680" t="str">
        <f>"1.024,00 EUR"</f>
        <v>1.024,00 EUR</v>
      </c>
      <c r="H680" t="str">
        <f>"30/10/2014 - 28/11/2014"</f>
        <v>30/10/2014 - 28/11/2014</v>
      </c>
      <c r="I680" t="str">
        <f>"1.024,00 EUR"</f>
        <v>1.024,00 EUR</v>
      </c>
    </row>
    <row r="681" spans="1:9" x14ac:dyDescent="0.25">
      <c r="A681" t="str">
        <f>"Z0E117489D"</f>
        <v>Z0E117489D</v>
      </c>
      <c r="B681" t="str">
        <f t="shared" si="171"/>
        <v>AC Ravenna - 00085710390</v>
      </c>
      <c r="C681" t="str">
        <f>"Modulistica Uff.A.A."</f>
        <v>Modulistica Uff.A.A.</v>
      </c>
      <c r="D681" t="str">
        <f t="shared" si="170"/>
        <v>23-AFFIDAMENTO DIRETTO</v>
      </c>
      <c r="E681" t="str">
        <f>"SAMORANI S.R.L. - 02705640403"</f>
        <v>SAMORANI S.R.L. - 02705640403</v>
      </c>
      <c r="F681" t="str">
        <f>"SAMORANI S.R.L. - 02705640403"</f>
        <v>SAMORANI S.R.L. - 02705640403</v>
      </c>
      <c r="G681" t="str">
        <f>"400,00 EUR"</f>
        <v>400,00 EUR</v>
      </c>
      <c r="H681" t="str">
        <f>"28/10/2014 - 28/11/2014"</f>
        <v>28/10/2014 - 28/11/2014</v>
      </c>
      <c r="I681" t="str">
        <f>"400,00 EUR"</f>
        <v>400,00 EUR</v>
      </c>
    </row>
    <row r="682" spans="1:9" x14ac:dyDescent="0.25">
      <c r="A682" t="str">
        <f>"Z83116CA4B"</f>
        <v>Z83116CA4B</v>
      </c>
      <c r="B682" t="str">
        <f t="shared" si="171"/>
        <v>AC Ravenna - 00085710390</v>
      </c>
      <c r="C682" t="str">
        <f>"Manut.Impianti"</f>
        <v>Manut.Impianti</v>
      </c>
      <c r="D682" t="str">
        <f t="shared" si="170"/>
        <v>23-AFFIDAMENTO DIRETTO</v>
      </c>
      <c r="E682" t="str">
        <f>"MELANDRI EMILIANO - MLNMLN81C02H199P"</f>
        <v>MELANDRI EMILIANO - MLNMLN81C02H199P</v>
      </c>
      <c r="F682" t="str">
        <f>"MELANDRI EMILIANO - MLNMLN81C02H199P"</f>
        <v>MELANDRI EMILIANO - MLNMLN81C02H199P</v>
      </c>
      <c r="G682" t="str">
        <f>"100,00 EUR"</f>
        <v>100,00 EUR</v>
      </c>
      <c r="H682" t="str">
        <f>"27/10/2014 - 04/11/2014"</f>
        <v>27/10/2014 - 04/11/2014</v>
      </c>
      <c r="I682" t="str">
        <f>"100,00 EUR"</f>
        <v>100,00 EUR</v>
      </c>
    </row>
    <row r="683" spans="1:9" x14ac:dyDescent="0.25">
      <c r="A683" t="str">
        <f>"Z83116693A"</f>
        <v>Z83116693A</v>
      </c>
      <c r="B683" t="str">
        <f t="shared" si="171"/>
        <v>AC Ravenna - 00085710390</v>
      </c>
      <c r="C683" t="str">
        <f>"Pulizie Locali"</f>
        <v>Pulizie Locali</v>
      </c>
      <c r="D683" t="str">
        <f t="shared" si="170"/>
        <v>23-AFFIDAMENTO DIRETTO</v>
      </c>
      <c r="E683" t="str">
        <f>"CENTRO IGIENE S.r.l. - 02368400392"</f>
        <v>CENTRO IGIENE S.r.l. - 02368400392</v>
      </c>
      <c r="F683" t="str">
        <f>"CENTRO IGIENE S.r.l. - 02368400392"</f>
        <v>CENTRO IGIENE S.r.l. - 02368400392</v>
      </c>
      <c r="G683" t="str">
        <f>"1.375,00 EUR"</f>
        <v>1.375,00 EUR</v>
      </c>
      <c r="H683" t="str">
        <f>"24/10/2014 - 31/10/2014"</f>
        <v>24/10/2014 - 31/10/2014</v>
      </c>
      <c r="I683" t="str">
        <f>"1.375,00 EUR"</f>
        <v>1.375,00 EUR</v>
      </c>
    </row>
    <row r="684" spans="1:9" x14ac:dyDescent="0.25">
      <c r="A684" t="str">
        <f>"ZF5116698F"</f>
        <v>ZF5116698F</v>
      </c>
      <c r="B684" t="str">
        <f t="shared" si="171"/>
        <v>AC Ravenna - 00085710390</v>
      </c>
      <c r="C684" t="str">
        <f>"Servizio.spedizioni"</f>
        <v>Servizio.spedizioni</v>
      </c>
      <c r="D684" t="str">
        <f t="shared" si="170"/>
        <v>23-AFFIDAMENTO DIRETTO</v>
      </c>
      <c r="E684" t="str">
        <f>"GAMMA INDIRIZZI SRL - 01048250391"</f>
        <v>GAMMA INDIRIZZI SRL - 01048250391</v>
      </c>
      <c r="F684" t="str">
        <f>"GAMMA INDIRIZZI SRL - 01048250391"</f>
        <v>GAMMA INDIRIZZI SRL - 01048250391</v>
      </c>
      <c r="G684" t="str">
        <f>"1.999,00 EUR"</f>
        <v>1.999,00 EUR</v>
      </c>
      <c r="H684" t="str">
        <f>"08/10/2014 - 24/10/2014"</f>
        <v>08/10/2014 - 24/10/2014</v>
      </c>
      <c r="I684" t="str">
        <f>"1.999,00 EUR"</f>
        <v>1.999,00 EUR</v>
      </c>
    </row>
    <row r="685" spans="1:9" x14ac:dyDescent="0.25">
      <c r="A685" t="str">
        <f>"Z6C11410DD"</f>
        <v>Z6C11410DD</v>
      </c>
      <c r="B685" t="str">
        <f t="shared" si="171"/>
        <v>AC Ravenna - 00085710390</v>
      </c>
      <c r="C685" t="str">
        <f>"Modulistica Uff.A.A."</f>
        <v>Modulistica Uff.A.A.</v>
      </c>
      <c r="D685" t="str">
        <f t="shared" si="170"/>
        <v>23-AFFIDAMENTO DIRETTO</v>
      </c>
      <c r="E685" t="str">
        <f>"TIPOLITOGRAFIA MAZZANTI S.r.l. - 02091850392"</f>
        <v>TIPOLITOGRAFIA MAZZANTI S.r.l. - 02091850392</v>
      </c>
      <c r="F685" t="str">
        <f>"TIPOLITOGRAFIA MAZZANTI S.r.l. - 02091850392"</f>
        <v>TIPOLITOGRAFIA MAZZANTI S.r.l. - 02091850392</v>
      </c>
      <c r="G685" t="str">
        <f>"240,00 EUR"</f>
        <v>240,00 EUR</v>
      </c>
      <c r="H685" t="str">
        <f>"28/10/2014 - 28/11/2014"</f>
        <v>28/10/2014 - 28/11/2014</v>
      </c>
      <c r="I685" t="str">
        <f>"240,00 EUR"</f>
        <v>240,00 EUR</v>
      </c>
    </row>
    <row r="686" spans="1:9" x14ac:dyDescent="0.25">
      <c r="A686" t="str">
        <f>"ZA71124151"</f>
        <v>ZA71124151</v>
      </c>
      <c r="B686" t="str">
        <f t="shared" si="171"/>
        <v>AC Ravenna - 00085710390</v>
      </c>
      <c r="C686" t="str">
        <f>"Servizio.spedizioni"</f>
        <v>Servizio.spedizioni</v>
      </c>
      <c r="D686" t="str">
        <f t="shared" si="170"/>
        <v>23-AFFIDAMENTO DIRETTO</v>
      </c>
      <c r="E686" t="str">
        <f>"GAMMA INDIRIZZI SRL - 01048250391"</f>
        <v>GAMMA INDIRIZZI SRL - 01048250391</v>
      </c>
      <c r="F686" t="str">
        <f>"GAMMA INDIRIZZI SRL - 01048250391"</f>
        <v>GAMMA INDIRIZZI SRL - 01048250391</v>
      </c>
      <c r="G686" t="str">
        <f>"1.024,00 EUR"</f>
        <v>1.024,00 EUR</v>
      </c>
      <c r="H686" t="str">
        <f>"08/10/2014 - 20/10/2010"</f>
        <v>08/10/2014 - 20/10/2010</v>
      </c>
      <c r="I686" t="str">
        <f>"1.024,00 EUR"</f>
        <v>1.024,00 EUR</v>
      </c>
    </row>
    <row r="687" spans="1:9" x14ac:dyDescent="0.25">
      <c r="A687" t="str">
        <f>"ZD010F1AA8"</f>
        <v>ZD010F1AA8</v>
      </c>
      <c r="B687" t="str">
        <f t="shared" si="171"/>
        <v>AC Ravenna - 00085710390</v>
      </c>
      <c r="C687" t="str">
        <f>"Manut. Immobile"</f>
        <v>Manut. Immobile</v>
      </c>
      <c r="D687" t="str">
        <f t="shared" si="170"/>
        <v>23-AFFIDAMENTO DIRETTO</v>
      </c>
      <c r="E687" t="str">
        <f>"BACCHETTA GAETANO - BCCGTN67L23H199I"</f>
        <v>BACCHETTA GAETANO - BCCGTN67L23H199I</v>
      </c>
      <c r="F687" t="str">
        <f>"BACCHETTA GAETANO - BCCGTN67L23H199I"</f>
        <v>BACCHETTA GAETANO - BCCGTN67L23H199I</v>
      </c>
      <c r="G687" t="str">
        <f>"515,00 EUR"</f>
        <v>515,00 EUR</v>
      </c>
      <c r="H687" t="str">
        <f>"25/09/2014 - 31/10/2014"</f>
        <v>25/09/2014 - 31/10/2014</v>
      </c>
      <c r="I687" t="str">
        <f>"515,00 EUR"</f>
        <v>515,00 EUR</v>
      </c>
    </row>
    <row r="688" spans="1:9" x14ac:dyDescent="0.25">
      <c r="A688" t="str">
        <f>"ZC410E64FA"</f>
        <v>ZC410E64FA</v>
      </c>
      <c r="B688" t="str">
        <f t="shared" si="171"/>
        <v>AC Ravenna - 00085710390</v>
      </c>
      <c r="C688" t="str">
        <f>"Pulizie Locali"</f>
        <v>Pulizie Locali</v>
      </c>
      <c r="D688" t="str">
        <f t="shared" si="170"/>
        <v>23-AFFIDAMENTO DIRETTO</v>
      </c>
      <c r="E688" t="str">
        <f>"CENTRO IGIENE S.r.l. - 02368400392"</f>
        <v>CENTRO IGIENE S.r.l. - 02368400392</v>
      </c>
      <c r="F688" t="str">
        <f>"CENTRO IGIENE S.r.l. - 02368400392"</f>
        <v>CENTRO IGIENE S.r.l. - 02368400392</v>
      </c>
      <c r="G688" t="str">
        <f>"1.375,00 EUR"</f>
        <v>1.375,00 EUR</v>
      </c>
      <c r="H688" t="str">
        <f>"23/09/2014 - 07/10/2014"</f>
        <v>23/09/2014 - 07/10/2014</v>
      </c>
      <c r="I688" t="str">
        <f>"1.375,00 EUR"</f>
        <v>1.375,00 EUR</v>
      </c>
    </row>
    <row r="689" spans="1:9" x14ac:dyDescent="0.25">
      <c r="A689" t="str">
        <f>"Z3210E64D8"</f>
        <v>Z3210E64D8</v>
      </c>
      <c r="B689" t="str">
        <f t="shared" si="171"/>
        <v>AC Ravenna - 00085710390</v>
      </c>
      <c r="C689" t="str">
        <f>"Acquisto software"</f>
        <v>Acquisto software</v>
      </c>
      <c r="D689" t="str">
        <f t="shared" si="170"/>
        <v>23-AFFIDAMENTO DIRETTO</v>
      </c>
      <c r="E689" t="str">
        <f>"HARVARD SERVICE S.r.l. - 02054730409"</f>
        <v>HARVARD SERVICE S.r.l. - 02054730409</v>
      </c>
      <c r="F689" t="str">
        <f>"HARVARD SERVICE S.r.l. - 02054730409"</f>
        <v>HARVARD SERVICE S.r.l. - 02054730409</v>
      </c>
      <c r="G689" t="str">
        <f>"106,00 EUR"</f>
        <v>106,00 EUR</v>
      </c>
      <c r="H689" t="str">
        <f>"23/09/2014 - 28/11/2014"</f>
        <v>23/09/2014 - 28/11/2014</v>
      </c>
      <c r="I689" t="str">
        <f>"106,00 EUR"</f>
        <v>106,00 EUR</v>
      </c>
    </row>
    <row r="690" spans="1:9" x14ac:dyDescent="0.25">
      <c r="A690" t="str">
        <f>"ZF810C1706"</f>
        <v>ZF810C1706</v>
      </c>
      <c r="B690" t="str">
        <f t="shared" si="171"/>
        <v>AC Ravenna - 00085710390</v>
      </c>
      <c r="C690" t="str">
        <f>"Modulistica Uff.A.A."</f>
        <v>Modulistica Uff.A.A.</v>
      </c>
      <c r="D690" t="str">
        <f t="shared" si="170"/>
        <v>23-AFFIDAMENTO DIRETTO</v>
      </c>
      <c r="E690" t="str">
        <f>"TIPOLITOGRAFIA MAZZANTI S.r.l. - 02091850392"</f>
        <v>TIPOLITOGRAFIA MAZZANTI S.r.l. - 02091850392</v>
      </c>
      <c r="F690" t="str">
        <f>"TIPOLITOGRAFIA MAZZANTI S.r.l. - 02091850392"</f>
        <v>TIPOLITOGRAFIA MAZZANTI S.r.l. - 02091850392</v>
      </c>
      <c r="G690" t="str">
        <f>"190,00 EUR"</f>
        <v>190,00 EUR</v>
      </c>
      <c r="H690" t="str">
        <f>"13/09/2014 - 31/10/2014"</f>
        <v>13/09/2014 - 31/10/2014</v>
      </c>
      <c r="I690" t="str">
        <f>"190,00 EUR"</f>
        <v>190,00 EUR</v>
      </c>
    </row>
    <row r="691" spans="1:9" x14ac:dyDescent="0.25">
      <c r="A691" t="str">
        <f>"Z7A108C069"</f>
        <v>Z7A108C069</v>
      </c>
      <c r="B691" t="str">
        <f t="shared" si="171"/>
        <v>AC Ravenna - 00085710390</v>
      </c>
      <c r="C691" t="str">
        <f>"Acquisto software"</f>
        <v>Acquisto software</v>
      </c>
      <c r="D691" t="str">
        <f t="shared" si="170"/>
        <v>23-AFFIDAMENTO DIRETTO</v>
      </c>
      <c r="E691" t="str">
        <f>"HARVARD GROUP S.r.l. - 02254110402"</f>
        <v>HARVARD GROUP S.r.l. - 02254110402</v>
      </c>
      <c r="F691" t="str">
        <f>"HARVARD GROUP S.r.l. - 02254110402"</f>
        <v>HARVARD GROUP S.r.l. - 02254110402</v>
      </c>
      <c r="G691" t="str">
        <f>"96,00 EUR"</f>
        <v>96,00 EUR</v>
      </c>
      <c r="H691" t="str">
        <f>"27/08/2014 - 31/10/2014"</f>
        <v>27/08/2014 - 31/10/2014</v>
      </c>
      <c r="I691" t="str">
        <f>"96,00 EUR"</f>
        <v>96,00 EUR</v>
      </c>
    </row>
    <row r="692" spans="1:9" x14ac:dyDescent="0.25">
      <c r="A692" t="str">
        <f>"Z4D108DD76"</f>
        <v>Z4D108DD76</v>
      </c>
      <c r="B692" t="str">
        <f t="shared" si="171"/>
        <v>AC Ravenna - 00085710390</v>
      </c>
      <c r="C692" t="str">
        <f>"Modulistica Uff.A.A."</f>
        <v>Modulistica Uff.A.A.</v>
      </c>
      <c r="D692" t="str">
        <f t="shared" si="170"/>
        <v>23-AFFIDAMENTO DIRETTO</v>
      </c>
      <c r="E692" t="str">
        <f>"GM SOCIETA' S.r.l. - 00224290288"</f>
        <v>GM SOCIETA' S.r.l. - 00224290288</v>
      </c>
      <c r="F692" t="str">
        <f>"GM SOCIETA' S.r.l. - 00224290288"</f>
        <v>GM SOCIETA' S.r.l. - 00224290288</v>
      </c>
      <c r="G692" t="str">
        <f>"300,00 EUR"</f>
        <v>300,00 EUR</v>
      </c>
      <c r="H692" t="str">
        <f>"27/08/2014 - 29/09/2014"</f>
        <v>27/08/2014 - 29/09/2014</v>
      </c>
      <c r="I692" t="str">
        <f>"300,00 EUR"</f>
        <v>300,00 EUR</v>
      </c>
    </row>
    <row r="693" spans="1:9" x14ac:dyDescent="0.25">
      <c r="A693" t="str">
        <f>"Z6E10870B3"</f>
        <v>Z6E10870B3</v>
      </c>
      <c r="B693" t="str">
        <f t="shared" si="171"/>
        <v>AC Ravenna - 00085710390</v>
      </c>
      <c r="C693" t="str">
        <f>"Pulizie Locali"</f>
        <v>Pulizie Locali</v>
      </c>
      <c r="D693" t="str">
        <f t="shared" si="170"/>
        <v>23-AFFIDAMENTO DIRETTO</v>
      </c>
      <c r="E693" t="str">
        <f>"CENTRO IGIENE S.r.l. - 02368400392"</f>
        <v>CENTRO IGIENE S.r.l. - 02368400392</v>
      </c>
      <c r="F693" t="str">
        <f>"CENTRO IGIENE S.r.l. - 02368400392"</f>
        <v>CENTRO IGIENE S.r.l. - 02368400392</v>
      </c>
      <c r="G693" t="str">
        <f>"1.375,00 EUR"</f>
        <v>1.375,00 EUR</v>
      </c>
      <c r="H693" t="str">
        <f>"25/08/2014 - 12/09/2014"</f>
        <v>25/08/2014 - 12/09/2014</v>
      </c>
      <c r="I693" t="str">
        <f>"1.375,00 EUR"</f>
        <v>1.375,00 EUR</v>
      </c>
    </row>
    <row r="694" spans="1:9" x14ac:dyDescent="0.25">
      <c r="A694" t="str">
        <f>"Z0810870A9"</f>
        <v>Z0810870A9</v>
      </c>
      <c r="B694" t="str">
        <f t="shared" si="171"/>
        <v>AC Ravenna - 00085710390</v>
      </c>
      <c r="C694" t="str">
        <f>"Servizio.spedizioni"</f>
        <v>Servizio.spedizioni</v>
      </c>
      <c r="D694" t="str">
        <f t="shared" si="170"/>
        <v>23-AFFIDAMENTO DIRETTO</v>
      </c>
      <c r="E694" t="str">
        <f>"GAMMA INDIRIZZI SRL - 01048250391"</f>
        <v>GAMMA INDIRIZZI SRL - 01048250391</v>
      </c>
      <c r="F694" t="str">
        <f>"GAMMA INDIRIZZI SRL - 01048250391"</f>
        <v>GAMMA INDIRIZZI SRL - 01048250391</v>
      </c>
      <c r="G694" t="str">
        <f>"2.350,00 EUR"</f>
        <v>2.350,00 EUR</v>
      </c>
      <c r="H694" t="str">
        <f>"25/08/2014 - 15/09/2014"</f>
        <v>25/08/2014 - 15/09/2014</v>
      </c>
      <c r="I694" t="str">
        <f>"2.350,00 EUR"</f>
        <v>2.350,00 EUR</v>
      </c>
    </row>
    <row r="695" spans="1:9" x14ac:dyDescent="0.25">
      <c r="A695" t="str">
        <f>"ZBC106BCD3"</f>
        <v>ZBC106BCD3</v>
      </c>
      <c r="B695" t="str">
        <f t="shared" si="171"/>
        <v>AC Ravenna - 00085710390</v>
      </c>
      <c r="C695" t="str">
        <f>"Modulistica Uff.A.A."</f>
        <v>Modulistica Uff.A.A.</v>
      </c>
      <c r="D695" t="str">
        <f t="shared" si="170"/>
        <v>23-AFFIDAMENTO DIRETTO</v>
      </c>
      <c r="E695" t="str">
        <f>"TIPOLITOGRAFIA MAZZANTI S.r.l. - 02091850392"</f>
        <v>TIPOLITOGRAFIA MAZZANTI S.r.l. - 02091850392</v>
      </c>
      <c r="F695" t="str">
        <f>"TIPOLITOGRAFIA MAZZANTI S.r.l. - 02091850392"</f>
        <v>TIPOLITOGRAFIA MAZZANTI S.r.l. - 02091850392</v>
      </c>
      <c r="G695" t="str">
        <f>"123,00 EUR"</f>
        <v>123,00 EUR</v>
      </c>
      <c r="H695" t="str">
        <f>"07/08/2014 - 29/09/2014"</f>
        <v>07/08/2014 - 29/09/2014</v>
      </c>
      <c r="I695" t="str">
        <f>"123,00 EUR"</f>
        <v>123,00 EUR</v>
      </c>
    </row>
    <row r="696" spans="1:9" x14ac:dyDescent="0.25">
      <c r="A696" t="str">
        <f>"Z59105BBBB"</f>
        <v>Z59105BBBB</v>
      </c>
      <c r="B696" t="str">
        <f t="shared" si="171"/>
        <v>AC Ravenna - 00085710390</v>
      </c>
      <c r="C696" t="str">
        <f>"Revisione estintori"</f>
        <v>Revisione estintori</v>
      </c>
      <c r="D696" t="str">
        <f t="shared" si="170"/>
        <v>23-AFFIDAMENTO DIRETTO</v>
      </c>
      <c r="E696" t="str">
        <f>"NUOVA OLP IMPIANTI SRL - 01478520396"</f>
        <v>NUOVA OLP IMPIANTI SRL - 01478520396</v>
      </c>
      <c r="F696" t="str">
        <f>"NUOVA OLP IMPIANTI SRL - 01478520396"</f>
        <v>NUOVA OLP IMPIANTI SRL - 01478520396</v>
      </c>
      <c r="G696" t="str">
        <f>"57,00 EUR"</f>
        <v>57,00 EUR</v>
      </c>
      <c r="H696" t="str">
        <f>"31/07/2014 - 29/08/2014"</f>
        <v>31/07/2014 - 29/08/2014</v>
      </c>
      <c r="I696" t="str">
        <f>"57,00 EUR"</f>
        <v>57,00 EUR</v>
      </c>
    </row>
    <row r="697" spans="1:9" x14ac:dyDescent="0.25">
      <c r="A697" t="str">
        <f>"Z9A1050732"</f>
        <v>Z9A1050732</v>
      </c>
      <c r="B697" t="str">
        <f t="shared" si="171"/>
        <v>AC Ravenna - 00085710390</v>
      </c>
      <c r="C697" t="str">
        <f>"Pulizie Locali"</f>
        <v>Pulizie Locali</v>
      </c>
      <c r="D697" t="str">
        <f t="shared" si="170"/>
        <v>23-AFFIDAMENTO DIRETTO</v>
      </c>
      <c r="E697" t="str">
        <f>"CENTRO IGIENE S.r.l. - 02368400392"</f>
        <v>CENTRO IGIENE S.r.l. - 02368400392</v>
      </c>
      <c r="F697" t="str">
        <f>"CENTRO IGIENE S.r.l. - 02368400392"</f>
        <v>CENTRO IGIENE S.r.l. - 02368400392</v>
      </c>
      <c r="G697" t="str">
        <f>"1.375,00 EUR"</f>
        <v>1.375,00 EUR</v>
      </c>
      <c r="H697" t="str">
        <f>"29/07/2014 - 07/08/2014"</f>
        <v>29/07/2014 - 07/08/2014</v>
      </c>
      <c r="I697" t="str">
        <f>"1.375,00 EUR"</f>
        <v>1.375,00 EUR</v>
      </c>
    </row>
    <row r="698" spans="1:9" x14ac:dyDescent="0.25">
      <c r="A698" t="str">
        <f>"Z4D1050708"</f>
        <v>Z4D1050708</v>
      </c>
      <c r="B698" t="str">
        <f t="shared" si="171"/>
        <v>AC Ravenna - 00085710390</v>
      </c>
      <c r="C698" t="str">
        <f>"Modulistica Uff.A.A."</f>
        <v>Modulistica Uff.A.A.</v>
      </c>
      <c r="D698" t="str">
        <f t="shared" si="170"/>
        <v>23-AFFIDAMENTO DIRETTO</v>
      </c>
      <c r="E698" t="str">
        <f>"SAMORANI S.R.L. - 02705640403"</f>
        <v>SAMORANI S.R.L. - 02705640403</v>
      </c>
      <c r="F698" t="str">
        <f>"SAMORANI S.R.L. - 02705640403"</f>
        <v>SAMORANI S.R.L. - 02705640403</v>
      </c>
      <c r="G698" t="str">
        <f>"620,00 EUR"</f>
        <v>620,00 EUR</v>
      </c>
      <c r="H698" t="str">
        <f>"29/07/2014 - 29/08/2014"</f>
        <v>29/07/2014 - 29/08/2014</v>
      </c>
      <c r="I698" t="str">
        <f>"620,00 EUR"</f>
        <v>620,00 EUR</v>
      </c>
    </row>
    <row r="699" spans="1:9" x14ac:dyDescent="0.25">
      <c r="A699" t="str">
        <f>"Z35105076D"</f>
        <v>Z35105076D</v>
      </c>
      <c r="B699" t="str">
        <f t="shared" si="171"/>
        <v>AC Ravenna - 00085710390</v>
      </c>
      <c r="C699" t="str">
        <f>"Servizio.spedizioni"</f>
        <v>Servizio.spedizioni</v>
      </c>
      <c r="D699" t="str">
        <f t="shared" si="170"/>
        <v>23-AFFIDAMENTO DIRETTO</v>
      </c>
      <c r="E699" t="str">
        <f>"GAMMA INDIRIZZI SRL - 01048250391"</f>
        <v>GAMMA INDIRIZZI SRL - 01048250391</v>
      </c>
      <c r="F699" t="str">
        <f>"GAMMA INDIRIZZI SRL - 01048250391"</f>
        <v>GAMMA INDIRIZZI SRL - 01048250391</v>
      </c>
      <c r="G699" t="str">
        <f>"1.141,00 EUR"</f>
        <v>1.141,00 EUR</v>
      </c>
      <c r="H699" t="str">
        <f>"29/07/2014 - 29/08/2014"</f>
        <v>29/07/2014 - 29/08/2014</v>
      </c>
      <c r="I699" t="str">
        <f>"1.141,00 EUR"</f>
        <v>1.141,00 EUR</v>
      </c>
    </row>
    <row r="700" spans="1:9" x14ac:dyDescent="0.25">
      <c r="A700" t="str">
        <f>"Z69100FD52"</f>
        <v>Z69100FD52</v>
      </c>
      <c r="B700" t="str">
        <f t="shared" si="171"/>
        <v>AC Ravenna - 00085710390</v>
      </c>
      <c r="C700" t="str">
        <f>"Modulistica Uff.A.A."</f>
        <v>Modulistica Uff.A.A.</v>
      </c>
      <c r="D700" t="str">
        <f t="shared" si="170"/>
        <v>23-AFFIDAMENTO DIRETTO</v>
      </c>
      <c r="E700" t="str">
        <f>"GM SOCIETA' S.r.l. - 00224290288"</f>
        <v>GM SOCIETA' S.r.l. - 00224290288</v>
      </c>
      <c r="F700" t="str">
        <f>"GM SOCIETA' S.r.l. - 00224290288"</f>
        <v>GM SOCIETA' S.r.l. - 00224290288</v>
      </c>
      <c r="G700" t="str">
        <f>"570,00 EUR"</f>
        <v>570,00 EUR</v>
      </c>
      <c r="H700" t="str">
        <f>"07/07/2014 - 29/08/2014"</f>
        <v>07/07/2014 - 29/08/2014</v>
      </c>
      <c r="I700" t="str">
        <f>"570,00 EUR"</f>
        <v>570,00 EUR</v>
      </c>
    </row>
    <row r="701" spans="1:9" x14ac:dyDescent="0.25">
      <c r="A701" t="str">
        <f>"ZCB0FFB8E6"</f>
        <v>ZCB0FFB8E6</v>
      </c>
      <c r="B701" t="str">
        <f t="shared" si="171"/>
        <v>AC Ravenna - 00085710390</v>
      </c>
      <c r="C701" t="str">
        <f>"Modulistica Uff.A.A."</f>
        <v>Modulistica Uff.A.A.</v>
      </c>
      <c r="D701" t="str">
        <f t="shared" si="170"/>
        <v>23-AFFIDAMENTO DIRETTO</v>
      </c>
      <c r="E701" t="str">
        <f>"TIPOLITOGRAFIA MAZZANTI S.r.l. - 02091850392"</f>
        <v>TIPOLITOGRAFIA MAZZANTI S.r.l. - 02091850392</v>
      </c>
      <c r="F701" t="str">
        <f>"TIPOLITOGRAFIA MAZZANTI S.r.l. - 02091850392"</f>
        <v>TIPOLITOGRAFIA MAZZANTI S.r.l. - 02091850392</v>
      </c>
      <c r="G701" t="str">
        <f>"135,00 EUR"</f>
        <v>135,00 EUR</v>
      </c>
      <c r="H701" t="str">
        <f>"01/07/2014 - 29/08/2014"</f>
        <v>01/07/2014 - 29/08/2014</v>
      </c>
      <c r="I701" t="str">
        <f>"135,00 EUR"</f>
        <v>135,00 EUR</v>
      </c>
    </row>
    <row r="702" spans="1:9" x14ac:dyDescent="0.25">
      <c r="A702" t="str">
        <f>"Z160FDDA7F"</f>
        <v>Z160FDDA7F</v>
      </c>
      <c r="B702" t="str">
        <f t="shared" si="171"/>
        <v>AC Ravenna - 00085710390</v>
      </c>
      <c r="C702" t="str">
        <f>"Canone sito WEB"</f>
        <v>Canone sito WEB</v>
      </c>
      <c r="D702" t="str">
        <f t="shared" si="170"/>
        <v>23-AFFIDAMENTO DIRETTO</v>
      </c>
      <c r="E702" t="str">
        <f>"SIMATICA SRL - 02070730391"</f>
        <v>SIMATICA SRL - 02070730391</v>
      </c>
      <c r="F702" t="str">
        <f>"SIMATICA SRL - 02070730391"</f>
        <v>SIMATICA SRL - 02070730391</v>
      </c>
      <c r="G702" t="str">
        <f>"380,00 EUR"</f>
        <v>380,00 EUR</v>
      </c>
      <c r="H702" t="str">
        <f>"26/06/2014 - 23/07/2014"</f>
        <v>26/06/2014 - 23/07/2014</v>
      </c>
      <c r="I702" t="str">
        <f>"380,00 EUR"</f>
        <v>380,00 EUR</v>
      </c>
    </row>
    <row r="703" spans="1:9" x14ac:dyDescent="0.25">
      <c r="A703" t="str">
        <f>"Z940FDAE05"</f>
        <v>Z940FDAE05</v>
      </c>
      <c r="B703" t="str">
        <f t="shared" ref="B703:B734" si="172">"AC Ravenna - 00085710390"</f>
        <v>AC Ravenna - 00085710390</v>
      </c>
      <c r="C703" t="str">
        <f>"Pulizie Locali"</f>
        <v>Pulizie Locali</v>
      </c>
      <c r="D703" t="str">
        <f t="shared" si="170"/>
        <v>23-AFFIDAMENTO DIRETTO</v>
      </c>
      <c r="E703" t="str">
        <f>"CENTRO IGIENE S.r.l. - 02368400392"</f>
        <v>CENTRO IGIENE S.r.l. - 02368400392</v>
      </c>
      <c r="F703" t="str">
        <f>"CENTRO IGIENE S.r.l. - 02368400392"</f>
        <v>CENTRO IGIENE S.r.l. - 02368400392</v>
      </c>
      <c r="G703" t="str">
        <f>"1.375,00 EUR"</f>
        <v>1.375,00 EUR</v>
      </c>
      <c r="H703" t="str">
        <f>"26/06/2014 - 07/07/2014"</f>
        <v>26/06/2014 - 07/07/2014</v>
      </c>
      <c r="I703" t="str">
        <f>"1.375,00 EUR"</f>
        <v>1.375,00 EUR</v>
      </c>
    </row>
    <row r="704" spans="1:9" x14ac:dyDescent="0.25">
      <c r="A704" t="str">
        <f>"Z290FDAE98"</f>
        <v>Z290FDAE98</v>
      </c>
      <c r="B704" t="str">
        <f t="shared" si="172"/>
        <v>AC Ravenna - 00085710390</v>
      </c>
      <c r="C704" t="str">
        <f>"Servizio.spedizioni"</f>
        <v>Servizio.spedizioni</v>
      </c>
      <c r="D704" t="str">
        <f t="shared" si="170"/>
        <v>23-AFFIDAMENTO DIRETTO</v>
      </c>
      <c r="E704" t="str">
        <f>"GAMMA INDIRIZZI SRL - 01048250391"</f>
        <v>GAMMA INDIRIZZI SRL - 01048250391</v>
      </c>
      <c r="F704" t="str">
        <f>"GAMMA INDIRIZZI SRL - 01048250391"</f>
        <v>GAMMA INDIRIZZI SRL - 01048250391</v>
      </c>
      <c r="G704" t="str">
        <f>"2.054,00 EUR"</f>
        <v>2.054,00 EUR</v>
      </c>
      <c r="H704" t="str">
        <f>"26/06/2014 - 16/07/2014"</f>
        <v>26/06/2014 - 16/07/2014</v>
      </c>
      <c r="I704" t="str">
        <f>"2.054,00 EUR"</f>
        <v>2.054,00 EUR</v>
      </c>
    </row>
    <row r="705" spans="1:9" x14ac:dyDescent="0.25">
      <c r="A705" t="str">
        <f>"Z730F98EF7"</f>
        <v>Z730F98EF7</v>
      </c>
      <c r="B705" t="str">
        <f t="shared" si="172"/>
        <v>AC Ravenna - 00085710390</v>
      </c>
      <c r="C705" t="str">
        <f>"Modulistica Uff.A.A."</f>
        <v>Modulistica Uff.A.A.</v>
      </c>
      <c r="D705" t="str">
        <f t="shared" si="170"/>
        <v>23-AFFIDAMENTO DIRETTO</v>
      </c>
      <c r="E705" t="str">
        <f>"TIPOLITOGRAFIA MAZZANTI S.r.l. - 02091850392"</f>
        <v>TIPOLITOGRAFIA MAZZANTI S.r.l. - 02091850392</v>
      </c>
      <c r="F705" t="str">
        <f>"TIPOLITOGRAFIA MAZZANTI S.r.l. - 02091850392"</f>
        <v>TIPOLITOGRAFIA MAZZANTI S.r.l. - 02091850392</v>
      </c>
      <c r="G705" t="str">
        <f>"105,00 EUR"</f>
        <v>105,00 EUR</v>
      </c>
      <c r="H705" t="str">
        <f>"10/06/2014 - 30/07/2014"</f>
        <v>10/06/2014 - 30/07/2014</v>
      </c>
      <c r="I705" t="str">
        <f>"105,00 EUR"</f>
        <v>105,00 EUR</v>
      </c>
    </row>
    <row r="706" spans="1:9" x14ac:dyDescent="0.25">
      <c r="A706" t="str">
        <f>"ZAD0F71296"</f>
        <v>ZAD0F71296</v>
      </c>
      <c r="B706" t="str">
        <f t="shared" si="172"/>
        <v>AC Ravenna - 00085710390</v>
      </c>
      <c r="C706" t="str">
        <f>"Pulizie Locali"</f>
        <v>Pulizie Locali</v>
      </c>
      <c r="D706" t="str">
        <f t="shared" si="170"/>
        <v>23-AFFIDAMENTO DIRETTO</v>
      </c>
      <c r="E706" t="str">
        <f>"CENTRO IGIENE S.r.l. - 02368400392"</f>
        <v>CENTRO IGIENE S.r.l. - 02368400392</v>
      </c>
      <c r="F706" t="str">
        <f>"CENTRO IGIENE S.r.l. - 02368400392"</f>
        <v>CENTRO IGIENE S.r.l. - 02368400392</v>
      </c>
      <c r="G706" t="str">
        <f>"1.375,00 EUR"</f>
        <v>1.375,00 EUR</v>
      </c>
      <c r="H706" t="str">
        <f>"29/05/2014 - 09/06/2014"</f>
        <v>29/05/2014 - 09/06/2014</v>
      </c>
      <c r="I706" t="str">
        <f>"1.375,00 EUR"</f>
        <v>1.375,00 EUR</v>
      </c>
    </row>
    <row r="707" spans="1:9" x14ac:dyDescent="0.25">
      <c r="A707" t="str">
        <f>"ZB00F7126A"</f>
        <v>ZB00F7126A</v>
      </c>
      <c r="B707" t="str">
        <f t="shared" si="172"/>
        <v>AC Ravenna - 00085710390</v>
      </c>
      <c r="C707" t="str">
        <f>"Manifest.sportive"</f>
        <v>Manifest.sportive</v>
      </c>
      <c r="D707" t="str">
        <f t="shared" si="170"/>
        <v>23-AFFIDAMENTO DIRETTO</v>
      </c>
      <c r="E707" t="str">
        <f>"SAMORANI S.R.L. - 02705640403"</f>
        <v>SAMORANI S.R.L. - 02705640403</v>
      </c>
      <c r="F707" t="str">
        <f>"SAMORANI S.R.L. - 02705640403"</f>
        <v>SAMORANI S.R.L. - 02705640403</v>
      </c>
      <c r="G707" t="str">
        <f>"375,00 EUR"</f>
        <v>375,00 EUR</v>
      </c>
      <c r="H707" t="str">
        <f>"29/05/2014 - 27/06/2014"</f>
        <v>29/05/2014 - 27/06/2014</v>
      </c>
      <c r="I707" t="str">
        <f>"375,00 EUR"</f>
        <v>375,00 EUR</v>
      </c>
    </row>
    <row r="708" spans="1:9" x14ac:dyDescent="0.25">
      <c r="A708" t="str">
        <f>"Z750F7132E"</f>
        <v>Z750F7132E</v>
      </c>
      <c r="B708" t="str">
        <f t="shared" si="172"/>
        <v>AC Ravenna - 00085710390</v>
      </c>
      <c r="C708" t="str">
        <f>"Servizio.spedizioni"</f>
        <v>Servizio.spedizioni</v>
      </c>
      <c r="D708" t="str">
        <f t="shared" si="170"/>
        <v>23-AFFIDAMENTO DIRETTO</v>
      </c>
      <c r="E708" t="str">
        <f>"GAMMA INDIRIZZI SRL - 01048250391"</f>
        <v>GAMMA INDIRIZZI SRL - 01048250391</v>
      </c>
      <c r="F708" t="str">
        <f>"GAMMA INDIRIZZI SRL - 01048250391"</f>
        <v>GAMMA INDIRIZZI SRL - 01048250391</v>
      </c>
      <c r="G708" t="str">
        <f>"993,00 EUR"</f>
        <v>993,00 EUR</v>
      </c>
      <c r="H708" t="str">
        <f>"29/05/2014 - 18/06/2014"</f>
        <v>29/05/2014 - 18/06/2014</v>
      </c>
      <c r="I708" t="str">
        <f>"993,00 EUR"</f>
        <v>993,00 EUR</v>
      </c>
    </row>
    <row r="709" spans="1:9" x14ac:dyDescent="0.25">
      <c r="A709" t="str">
        <f>"Z3F0F4E281"</f>
        <v>Z3F0F4E281</v>
      </c>
      <c r="B709" t="str">
        <f t="shared" si="172"/>
        <v>AC Ravenna - 00085710390</v>
      </c>
      <c r="C709" t="str">
        <f>"Rinnovo cariche"</f>
        <v>Rinnovo cariche</v>
      </c>
      <c r="D709" t="str">
        <f t="shared" si="170"/>
        <v>23-AFFIDAMENTO DIRETTO</v>
      </c>
      <c r="E709" t="str">
        <f>"SPE SPA - 00326930377"</f>
        <v>SPE SPA - 00326930377</v>
      </c>
      <c r="F709" t="str">
        <f>"SPE SPA - 00326930377"</f>
        <v>SPE SPA - 00326930377</v>
      </c>
      <c r="G709" t="str">
        <f>"240,00 EUR"</f>
        <v>240,00 EUR</v>
      </c>
      <c r="H709" t="str">
        <f>"20/05/2014 - 30/07/2014"</f>
        <v>20/05/2014 - 30/07/2014</v>
      </c>
      <c r="I709" t="str">
        <f>"247,00 EUR"</f>
        <v>247,00 EUR</v>
      </c>
    </row>
    <row r="710" spans="1:9" x14ac:dyDescent="0.25">
      <c r="A710" t="str">
        <f>"ZBE0F4E26B"</f>
        <v>ZBE0F4E26B</v>
      </c>
      <c r="B710" t="str">
        <f t="shared" si="172"/>
        <v>AC Ravenna - 00085710390</v>
      </c>
      <c r="C710" t="str">
        <f>"Inserzioni x Assemblea SOCI"</f>
        <v>Inserzioni x Assemblea SOCI</v>
      </c>
      <c r="D710" t="str">
        <f t="shared" si="170"/>
        <v>23-AFFIDAMENTO DIRETTO</v>
      </c>
      <c r="E710" t="str">
        <f>"SPE SPA - 00326930377"</f>
        <v>SPE SPA - 00326930377</v>
      </c>
      <c r="F710" t="str">
        <f>"SPE SPA - 00326930377"</f>
        <v>SPE SPA - 00326930377</v>
      </c>
      <c r="G710" t="str">
        <f>"480,00 EUR"</f>
        <v>480,00 EUR</v>
      </c>
      <c r="H710" t="str">
        <f>"20/05/2014 - 29/08/2014"</f>
        <v>20/05/2014 - 29/08/2014</v>
      </c>
      <c r="I710" t="str">
        <f>"487,00 EUR"</f>
        <v>487,00 EUR</v>
      </c>
    </row>
    <row r="711" spans="1:9" x14ac:dyDescent="0.25">
      <c r="A711" t="str">
        <f>"Z480F324DB"</f>
        <v>Z480F324DB</v>
      </c>
      <c r="B711" t="str">
        <f t="shared" si="172"/>
        <v>AC Ravenna - 00085710390</v>
      </c>
      <c r="C711" t="str">
        <f>"Manutenzione Impianti"</f>
        <v>Manutenzione Impianti</v>
      </c>
      <c r="D711" t="str">
        <f t="shared" si="170"/>
        <v>23-AFFIDAMENTO DIRETTO</v>
      </c>
      <c r="E711" t="str">
        <f>"NILO SERVIZI SRL - 02006680397"</f>
        <v>NILO SERVIZI SRL - 02006680397</v>
      </c>
      <c r="F711" t="str">
        <f>"NILO SERVIZI SRL - 02006680397"</f>
        <v>NILO SERVIZI SRL - 02006680397</v>
      </c>
      <c r="G711" t="str">
        <f>"490,00 EUR"</f>
        <v>490,00 EUR</v>
      </c>
      <c r="H711" t="str">
        <f>"14/05/2014 - 27/06/2014"</f>
        <v>14/05/2014 - 27/06/2014</v>
      </c>
      <c r="I711" t="str">
        <f>"490,00 EUR"</f>
        <v>490,00 EUR</v>
      </c>
    </row>
    <row r="712" spans="1:9" x14ac:dyDescent="0.25">
      <c r="A712" t="str">
        <f>"Z1C0EFF6F9"</f>
        <v>Z1C0EFF6F9</v>
      </c>
      <c r="B712" t="str">
        <f t="shared" si="172"/>
        <v>AC Ravenna - 00085710390</v>
      </c>
      <c r="C712" t="str">
        <f>"Servizio.spedizioni"</f>
        <v>Servizio.spedizioni</v>
      </c>
      <c r="D712" t="str">
        <f t="shared" si="170"/>
        <v>23-AFFIDAMENTO DIRETTO</v>
      </c>
      <c r="E712" t="str">
        <f>"GAMMA INDIRIZZI SRL - 01048250391"</f>
        <v>GAMMA INDIRIZZI SRL - 01048250391</v>
      </c>
      <c r="F712" t="str">
        <f>"GAMMA INDIRIZZI SRL - 01048250391"</f>
        <v>GAMMA INDIRIZZI SRL - 01048250391</v>
      </c>
      <c r="G712" t="str">
        <f>"2.384,00 EUR"</f>
        <v>2.384,00 EUR</v>
      </c>
      <c r="H712" t="str">
        <f>"30/04/2014 - 25/05/2014"</f>
        <v>30/04/2014 - 25/05/2014</v>
      </c>
      <c r="I712" t="str">
        <f>"2.384,00 EUR"</f>
        <v>2.384,00 EUR</v>
      </c>
    </row>
    <row r="713" spans="1:9" x14ac:dyDescent="0.25">
      <c r="A713" t="str">
        <f>"Z2F0EF9A0C"</f>
        <v>Z2F0EF9A0C</v>
      </c>
      <c r="B713" t="str">
        <f t="shared" si="172"/>
        <v>AC Ravenna - 00085710390</v>
      </c>
      <c r="C713" t="str">
        <f>"Arredamento"</f>
        <v>Arredamento</v>
      </c>
      <c r="D713" t="str">
        <f t="shared" si="170"/>
        <v>23-AFFIDAMENTO DIRETTO</v>
      </c>
      <c r="E713" t="str">
        <f>"ARCOZZI SNC - 00600160394"</f>
        <v>ARCOZZI SNC - 00600160394</v>
      </c>
      <c r="F713" t="str">
        <f>"ARCOZZI SNC - 00600160394"</f>
        <v>ARCOZZI SNC - 00600160394</v>
      </c>
      <c r="G713" t="str">
        <f>"190,00 EUR"</f>
        <v>190,00 EUR</v>
      </c>
      <c r="H713" t="str">
        <f>"29/04/2014 - 19/05/2014"</f>
        <v>29/04/2014 - 19/05/2014</v>
      </c>
      <c r="I713" t="str">
        <f>"190,00 EUR"</f>
        <v>190,00 EUR</v>
      </c>
    </row>
    <row r="714" spans="1:9" x14ac:dyDescent="0.25">
      <c r="A714" t="str">
        <f>"ZA10EF4DE7"</f>
        <v>ZA10EF4DE7</v>
      </c>
      <c r="B714" t="str">
        <f t="shared" si="172"/>
        <v>AC Ravenna - 00085710390</v>
      </c>
      <c r="C714" t="str">
        <f>"Pulizie Locali"</f>
        <v>Pulizie Locali</v>
      </c>
      <c r="D714" t="str">
        <f t="shared" si="170"/>
        <v>23-AFFIDAMENTO DIRETTO</v>
      </c>
      <c r="E714" t="str">
        <f>"CENTRO IGIENE S.r.l. - 02368400392"</f>
        <v>CENTRO IGIENE S.r.l. - 02368400392</v>
      </c>
      <c r="F714" t="str">
        <f>"CENTRO IGIENE S.r.l. - 02368400392"</f>
        <v>CENTRO IGIENE S.r.l. - 02368400392</v>
      </c>
      <c r="G714" t="str">
        <f>"1.375,00 EUR"</f>
        <v>1.375,00 EUR</v>
      </c>
      <c r="H714" t="str">
        <f>"28/04/2014 - 12/05/2014"</f>
        <v>28/04/2014 - 12/05/2014</v>
      </c>
      <c r="I714" t="str">
        <f>"1.375,00 EUR"</f>
        <v>1.375,00 EUR</v>
      </c>
    </row>
    <row r="715" spans="1:9" x14ac:dyDescent="0.25">
      <c r="A715" t="str">
        <f>"Z1B0EEE913"</f>
        <v>Z1B0EEE913</v>
      </c>
      <c r="B715" t="str">
        <f t="shared" si="172"/>
        <v>AC Ravenna - 00085710390</v>
      </c>
      <c r="C715" t="str">
        <f>"Modulistica Uff.A.A."</f>
        <v>Modulistica Uff.A.A.</v>
      </c>
      <c r="D715" t="str">
        <f t="shared" si="170"/>
        <v>23-AFFIDAMENTO DIRETTO</v>
      </c>
      <c r="E715" t="str">
        <f>"SAMORANI S.R.L. - 02705640403"</f>
        <v>SAMORANI S.R.L. - 02705640403</v>
      </c>
      <c r="F715" t="str">
        <f>"SAMORANI S.R.L. - 02705640403"</f>
        <v>SAMORANI S.R.L. - 02705640403</v>
      </c>
      <c r="G715" t="str">
        <f>"320,00 EUR"</f>
        <v>320,00 EUR</v>
      </c>
      <c r="H715" t="str">
        <f>"24/04/2014 - 30/05/2014"</f>
        <v>24/04/2014 - 30/05/2014</v>
      </c>
      <c r="I715" t="str">
        <f>"320,00 EUR"</f>
        <v>320,00 EUR</v>
      </c>
    </row>
    <row r="716" spans="1:9" x14ac:dyDescent="0.25">
      <c r="A716" t="str">
        <f>"Z3A0ED5B84"</f>
        <v>Z3A0ED5B84</v>
      </c>
      <c r="B716" t="str">
        <f t="shared" si="172"/>
        <v>AC Ravenna - 00085710390</v>
      </c>
      <c r="C716" t="str">
        <f>"Modulistica SOCI"</f>
        <v>Modulistica SOCI</v>
      </c>
      <c r="D716" t="str">
        <f t="shared" si="170"/>
        <v>23-AFFIDAMENTO DIRETTO</v>
      </c>
      <c r="E716" t="str">
        <f>"TIPOLITOGRAFIA MAZZANTI S.r.l. - 02091850392"</f>
        <v>TIPOLITOGRAFIA MAZZANTI S.r.l. - 02091850392</v>
      </c>
      <c r="F716" t="str">
        <f>"TIPOLITOGRAFIA MAZZANTI S.r.l. - 02091850392"</f>
        <v>TIPOLITOGRAFIA MAZZANTI S.r.l. - 02091850392</v>
      </c>
      <c r="G716" t="str">
        <f>"360,00 EUR"</f>
        <v>360,00 EUR</v>
      </c>
      <c r="H716" t="str">
        <f>"15/04/2014 - 30/05/2014"</f>
        <v>15/04/2014 - 30/05/2014</v>
      </c>
      <c r="I716" t="str">
        <f>"360,00 EUR"</f>
        <v>360,00 EUR</v>
      </c>
    </row>
    <row r="717" spans="1:9" x14ac:dyDescent="0.25">
      <c r="A717" t="str">
        <f>"ZC40EC8D8E"</f>
        <v>ZC40EC8D8E</v>
      </c>
      <c r="B717" t="str">
        <f t="shared" si="172"/>
        <v>AC Ravenna - 00085710390</v>
      </c>
      <c r="C717" t="str">
        <f>"Porta patente"</f>
        <v>Porta patente</v>
      </c>
      <c r="D717" t="str">
        <f t="shared" si="170"/>
        <v>23-AFFIDAMENTO DIRETTO</v>
      </c>
      <c r="E717" t="str">
        <f>"GM SOCIETA' S.r.l. - 00224290288"</f>
        <v>GM SOCIETA' S.r.l. - 00224290288</v>
      </c>
      <c r="F717" t="str">
        <f>"GM SOCIETA' S.r.l. - 00224290288"</f>
        <v>GM SOCIETA' S.r.l. - 00224290288</v>
      </c>
      <c r="G717" t="str">
        <f>"1.600,00 EUR"</f>
        <v>1.600,00 EUR</v>
      </c>
      <c r="H717" t="str">
        <f>"12/04/2014 - 30/05/2014"</f>
        <v>12/04/2014 - 30/05/2014</v>
      </c>
      <c r="I717" t="str">
        <f>"1.600,00 EUR"</f>
        <v>1.600,00 EUR</v>
      </c>
    </row>
    <row r="718" spans="1:9" x14ac:dyDescent="0.25">
      <c r="A718" t="str">
        <f>"ZE10EACA83"</f>
        <v>ZE10EACA83</v>
      </c>
      <c r="B718" t="str">
        <f t="shared" si="172"/>
        <v>AC Ravenna - 00085710390</v>
      </c>
      <c r="C718" t="str">
        <f>"Acquisto bandiere"</f>
        <v>Acquisto bandiere</v>
      </c>
      <c r="D718" t="str">
        <f t="shared" si="170"/>
        <v>23-AFFIDAMENTO DIRETTO</v>
      </c>
      <c r="E718" t="str">
        <f>"ADRIA BANDIERE SRL - 02205060409"</f>
        <v>ADRIA BANDIERE SRL - 02205060409</v>
      </c>
      <c r="F718" t="str">
        <f>"ADRIA BANDIERE SRL - 02205060409"</f>
        <v>ADRIA BANDIERE SRL - 02205060409</v>
      </c>
      <c r="G718" t="str">
        <f>"71,00 EUR"</f>
        <v>71,00 EUR</v>
      </c>
      <c r="H718" t="str">
        <f>"07/04/2014 - 30/04/2014"</f>
        <v>07/04/2014 - 30/04/2014</v>
      </c>
      <c r="I718" t="str">
        <f>"71,00 EUR"</f>
        <v>71,00 EUR</v>
      </c>
    </row>
    <row r="719" spans="1:9" x14ac:dyDescent="0.25">
      <c r="A719" t="str">
        <f>"ZAD0EA45DC"</f>
        <v>ZAD0EA45DC</v>
      </c>
      <c r="B719" t="str">
        <f t="shared" si="172"/>
        <v>AC Ravenna - 00085710390</v>
      </c>
      <c r="C719" t="str">
        <f>"Manutenzione mobilio"</f>
        <v>Manutenzione mobilio</v>
      </c>
      <c r="D719" t="str">
        <f t="shared" si="170"/>
        <v>23-AFFIDAMENTO DIRETTO</v>
      </c>
      <c r="E719" t="str">
        <f>"GIACOBBI PAOLO - GCBPLA63L30H199V"</f>
        <v>GIACOBBI PAOLO - GCBPLA63L30H199V</v>
      </c>
      <c r="F719" t="str">
        <f>"GIACOBBI PAOLO - GCBPLA63L30H199V"</f>
        <v>GIACOBBI PAOLO - GCBPLA63L30H199V</v>
      </c>
      <c r="G719" t="str">
        <f>"60,00 EUR"</f>
        <v>60,00 EUR</v>
      </c>
      <c r="H719" t="str">
        <f>"04/04/2014 - 30/04/2014"</f>
        <v>04/04/2014 - 30/04/2014</v>
      </c>
      <c r="I719" t="str">
        <f>"60,00 EUR"</f>
        <v>60,00 EUR</v>
      </c>
    </row>
    <row r="720" spans="1:9" x14ac:dyDescent="0.25">
      <c r="A720" t="str">
        <f>"Z290E9D2DD"</f>
        <v>Z290E9D2DD</v>
      </c>
      <c r="B720" t="str">
        <f t="shared" si="172"/>
        <v>AC Ravenna - 00085710390</v>
      </c>
      <c r="C720" t="str">
        <f>"Materiale consumo"</f>
        <v>Materiale consumo</v>
      </c>
      <c r="D720" t="str">
        <f t="shared" si="170"/>
        <v>23-AFFIDAMENTO DIRETTO</v>
      </c>
      <c r="E720" t="str">
        <f>"MELANDRI EMILIANO - MLNMLN81C02H199P"</f>
        <v>MELANDRI EMILIANO - MLNMLN81C02H199P</v>
      </c>
      <c r="F720" t="str">
        <f>"MELANDRI EMILIANO - MLNMLN81C02H199P"</f>
        <v>MELANDRI EMILIANO - MLNMLN81C02H199P</v>
      </c>
      <c r="G720" t="str">
        <f>"60,00 EUR"</f>
        <v>60,00 EUR</v>
      </c>
      <c r="H720" t="str">
        <f>"02/04/2014 - 04/04/2014"</f>
        <v>02/04/2014 - 04/04/2014</v>
      </c>
      <c r="I720" t="str">
        <f>"60,00 EUR"</f>
        <v>60,00 EUR</v>
      </c>
    </row>
    <row r="721" spans="1:9" x14ac:dyDescent="0.25">
      <c r="A721" t="str">
        <f>"ZAA0E9A53C"</f>
        <v>ZAA0E9A53C</v>
      </c>
      <c r="B721" t="str">
        <f t="shared" si="172"/>
        <v>AC Ravenna - 00085710390</v>
      </c>
      <c r="C721" t="str">
        <f>"Inserzioni x Bilanci"</f>
        <v>Inserzioni x Bilanci</v>
      </c>
      <c r="D721" t="str">
        <f t="shared" si="170"/>
        <v>23-AFFIDAMENTO DIRETTO</v>
      </c>
      <c r="E721" t="str">
        <f>"SPE SPA - 00326930377"</f>
        <v>SPE SPA - 00326930377</v>
      </c>
      <c r="F721" t="str">
        <f>"SPE SPA - 00326930377"</f>
        <v>SPE SPA - 00326930377</v>
      </c>
      <c r="G721" t="str">
        <f>"480,00 EUR"</f>
        <v>480,00 EUR</v>
      </c>
      <c r="H721" t="str">
        <f>"02/04/2014 - 27/06/2014"</f>
        <v>02/04/2014 - 27/06/2014</v>
      </c>
      <c r="I721" t="str">
        <f>"487,00 EUR"</f>
        <v>487,00 EUR</v>
      </c>
    </row>
    <row r="722" spans="1:9" x14ac:dyDescent="0.25">
      <c r="A722" t="str">
        <f>"Z030E97839"</f>
        <v>Z030E97839</v>
      </c>
      <c r="B722" t="str">
        <f t="shared" si="172"/>
        <v>AC Ravenna - 00085710390</v>
      </c>
      <c r="C722" t="str">
        <f>"Inserzioni x Elezioni"</f>
        <v>Inserzioni x Elezioni</v>
      </c>
      <c r="D722" t="str">
        <f t="shared" si="170"/>
        <v>23-AFFIDAMENTO DIRETTO</v>
      </c>
      <c r="E722" t="str">
        <f>"SPE SPA - 00326930377"</f>
        <v>SPE SPA - 00326930377</v>
      </c>
      <c r="F722" t="str">
        <f>"SPE SPA - 00326930377"</f>
        <v>SPE SPA - 00326930377</v>
      </c>
      <c r="G722" t="str">
        <f>"487,00 EUR"</f>
        <v>487,00 EUR</v>
      </c>
      <c r="H722" t="str">
        <f>"01/04/2014 - 27/06/2014"</f>
        <v>01/04/2014 - 27/06/2014</v>
      </c>
      <c r="I722" t="str">
        <f>"487,00 EUR"</f>
        <v>487,00 EUR</v>
      </c>
    </row>
    <row r="723" spans="1:9" x14ac:dyDescent="0.25">
      <c r="A723" t="str">
        <f>"ZDE0E80BB0"</f>
        <v>ZDE0E80BB0</v>
      </c>
      <c r="B723" t="str">
        <f t="shared" si="172"/>
        <v>AC Ravenna - 00085710390</v>
      </c>
      <c r="C723" t="str">
        <f>"Pulizie Locali"</f>
        <v>Pulizie Locali</v>
      </c>
      <c r="D723" t="str">
        <f t="shared" si="170"/>
        <v>23-AFFIDAMENTO DIRETTO</v>
      </c>
      <c r="E723" t="str">
        <f>"CENTRO IGIENE S.r.l. - 02368400392"</f>
        <v>CENTRO IGIENE S.r.l. - 02368400392</v>
      </c>
      <c r="F723" t="str">
        <f>"CENTRO IGIENE S.r.l. - 02368400392"</f>
        <v>CENTRO IGIENE S.r.l. - 02368400392</v>
      </c>
      <c r="G723" t="str">
        <f>"1.375,00 EUR"</f>
        <v>1.375,00 EUR</v>
      </c>
      <c r="H723" t="str">
        <f>"26/03/2014 - 04/04/2014"</f>
        <v>26/03/2014 - 04/04/2014</v>
      </c>
      <c r="I723" t="str">
        <f>"1.375,00 EUR"</f>
        <v>1.375,00 EUR</v>
      </c>
    </row>
    <row r="724" spans="1:9" x14ac:dyDescent="0.25">
      <c r="A724" t="str">
        <f>"ZF50E7AAF0"</f>
        <v>ZF50E7AAF0</v>
      </c>
      <c r="B724" t="str">
        <f t="shared" si="172"/>
        <v>AC Ravenna - 00085710390</v>
      </c>
      <c r="C724" t="str">
        <f>"Pagine gialle"</f>
        <v>Pagine gialle</v>
      </c>
      <c r="D724" t="str">
        <f t="shared" si="170"/>
        <v>23-AFFIDAMENTO DIRETTO</v>
      </c>
      <c r="E724" t="str">
        <f>"SEAT PAGINE GIALLE ITALIA SPA - 02429470541"</f>
        <v>SEAT PAGINE GIALLE ITALIA SPA - 02429470541</v>
      </c>
      <c r="F724" t="str">
        <f>"SEAT PAGINE GIALLE ITALIA SPA - 02429470541"</f>
        <v>SEAT PAGINE GIALLE ITALIA SPA - 02429470541</v>
      </c>
      <c r="G724" t="str">
        <f>"723,00 EUR"</f>
        <v>723,00 EUR</v>
      </c>
      <c r="H724" t="str">
        <f>"25/03/2014 - 30/05/2014"</f>
        <v>25/03/2014 - 30/05/2014</v>
      </c>
      <c r="I724" t="str">
        <f>"723,00 EUR"</f>
        <v>723,00 EUR</v>
      </c>
    </row>
    <row r="725" spans="1:9" x14ac:dyDescent="0.25">
      <c r="A725" t="str">
        <f>"ZE20E61AB0"</f>
        <v>ZE20E61AB0</v>
      </c>
      <c r="B725" t="str">
        <f t="shared" si="172"/>
        <v>AC Ravenna - 00085710390</v>
      </c>
      <c r="C725" t="str">
        <f>"Software uff.A.A."</f>
        <v>Software uff.A.A.</v>
      </c>
      <c r="D725" t="str">
        <f t="shared" si="170"/>
        <v>23-AFFIDAMENTO DIRETTO</v>
      </c>
      <c r="E725" t="str">
        <f>"HARVARD GROUP S.r.l. - 02254110402"</f>
        <v>HARVARD GROUP S.r.l. - 02254110402</v>
      </c>
      <c r="F725" t="str">
        <f>"HARVARD GROUP S.r.l. - 02254110402"</f>
        <v>HARVARD GROUP S.r.l. - 02254110402</v>
      </c>
      <c r="G725" t="str">
        <f>"485,00 EUR"</f>
        <v>485,00 EUR</v>
      </c>
      <c r="H725" t="str">
        <f>"19/03/2014 - 30/05/2014"</f>
        <v>19/03/2014 - 30/05/2014</v>
      </c>
      <c r="I725" t="str">
        <f>"485,00 EUR"</f>
        <v>485,00 EUR</v>
      </c>
    </row>
    <row r="726" spans="1:9" x14ac:dyDescent="0.25">
      <c r="A726" t="str">
        <f>"ZAA0E532E9"</f>
        <v>ZAA0E532E9</v>
      </c>
      <c r="B726" t="str">
        <f t="shared" si="172"/>
        <v>AC Ravenna - 00085710390</v>
      </c>
      <c r="C726" t="str">
        <f>"Modulistica"</f>
        <v>Modulistica</v>
      </c>
      <c r="D726" t="str">
        <f t="shared" si="170"/>
        <v>23-AFFIDAMENTO DIRETTO</v>
      </c>
      <c r="E726" t="str">
        <f>"TIPOLITOGRAFIA MAZZANTI S.r.l. - 02091850392"</f>
        <v>TIPOLITOGRAFIA MAZZANTI S.r.l. - 02091850392</v>
      </c>
      <c r="F726" t="str">
        <f>"TIPOLITOGRAFIA MAZZANTI S.r.l. - 02091850392"</f>
        <v>TIPOLITOGRAFIA MAZZANTI S.r.l. - 02091850392</v>
      </c>
      <c r="G726" t="str">
        <f>"120,00 EUR"</f>
        <v>120,00 EUR</v>
      </c>
      <c r="H726" t="str">
        <f>"18/03/2014 - 30/07/2014"</f>
        <v>18/03/2014 - 30/07/2014</v>
      </c>
      <c r="I726" t="str">
        <f>"120,00 EUR"</f>
        <v>120,00 EUR</v>
      </c>
    </row>
    <row r="727" spans="1:9" x14ac:dyDescent="0.25">
      <c r="A727" t="str">
        <f>"ZE40E533D6"</f>
        <v>ZE40E533D6</v>
      </c>
      <c r="B727" t="str">
        <f t="shared" si="172"/>
        <v>AC Ravenna - 00085710390</v>
      </c>
      <c r="C727" t="str">
        <f>"Servizio.spedizioni"</f>
        <v>Servizio.spedizioni</v>
      </c>
      <c r="D727" t="str">
        <f t="shared" si="170"/>
        <v>23-AFFIDAMENTO DIRETTO</v>
      </c>
      <c r="E727" t="str">
        <f>"GAMMA INDIRIZZI SRL - 01048250391"</f>
        <v>GAMMA INDIRIZZI SRL - 01048250391</v>
      </c>
      <c r="F727" t="str">
        <f>"GAMMA INDIRIZZI SRL - 01048250391"</f>
        <v>GAMMA INDIRIZZI SRL - 01048250391</v>
      </c>
      <c r="G727" t="str">
        <f>"1.967,00 EUR"</f>
        <v>1.967,00 EUR</v>
      </c>
      <c r="H727" t="str">
        <f>"17/03/2014 - 18/03/2014"</f>
        <v>17/03/2014 - 18/03/2014</v>
      </c>
      <c r="I727" t="str">
        <f>"1.967,00 EUR"</f>
        <v>1.967,00 EUR</v>
      </c>
    </row>
    <row r="728" spans="1:9" x14ac:dyDescent="0.25">
      <c r="A728" t="str">
        <f>"Z190E51F70"</f>
        <v>Z190E51F70</v>
      </c>
      <c r="B728" t="str">
        <f t="shared" si="172"/>
        <v>AC Ravenna - 00085710390</v>
      </c>
      <c r="C728" t="str">
        <f>"Modulistica"</f>
        <v>Modulistica</v>
      </c>
      <c r="D728" t="str">
        <f t="shared" si="170"/>
        <v>23-AFFIDAMENTO DIRETTO</v>
      </c>
      <c r="E728" t="str">
        <f>"SAMORANI S.R.L. - 02705640403"</f>
        <v>SAMORANI S.R.L. - 02705640403</v>
      </c>
      <c r="F728" t="str">
        <f>"SAMORANI S.R.L. - 02705640403"</f>
        <v>SAMORANI S.R.L. - 02705640403</v>
      </c>
      <c r="G728" t="str">
        <f>"400,00 EUR"</f>
        <v>400,00 EUR</v>
      </c>
      <c r="H728" t="str">
        <f>"17/03/2014 - 30/04/2014"</f>
        <v>17/03/2014 - 30/04/2014</v>
      </c>
      <c r="I728" t="str">
        <f>"400,00 EUR"</f>
        <v>400,00 EUR</v>
      </c>
    </row>
    <row r="729" spans="1:9" x14ac:dyDescent="0.25">
      <c r="A729" t="str">
        <f>"Z070E36451"</f>
        <v>Z070E36451</v>
      </c>
      <c r="B729" t="str">
        <f t="shared" si="172"/>
        <v>AC Ravenna - 00085710390</v>
      </c>
      <c r="C729" t="str">
        <f>"Servizi postali"</f>
        <v>Servizi postali</v>
      </c>
      <c r="D729" t="str">
        <f t="shared" si="170"/>
        <v>23-AFFIDAMENTO DIRETTO</v>
      </c>
      <c r="E729" t="str">
        <f>"POSTE ITALIANE SPA - 97103880585"</f>
        <v>POSTE ITALIANE SPA - 97103880585</v>
      </c>
      <c r="F729" t="str">
        <f>"POSTE ITALIANE SPA - 97103880585"</f>
        <v>POSTE ITALIANE SPA - 97103880585</v>
      </c>
      <c r="G729" t="str">
        <f>"5.000,00 EUR"</f>
        <v>5.000,00 EUR</v>
      </c>
      <c r="H729" t="str">
        <f>"05/03/2014 - 29/12/2014"</f>
        <v>05/03/2014 - 29/12/2014</v>
      </c>
      <c r="I729" t="str">
        <f>"2.487,00 EUR"</f>
        <v>2.487,00 EUR</v>
      </c>
    </row>
    <row r="730" spans="1:9" x14ac:dyDescent="0.25">
      <c r="A730" t="str">
        <f>"ZD30E27042"</f>
        <v>ZD30E27042</v>
      </c>
      <c r="B730" t="str">
        <f t="shared" si="172"/>
        <v>AC Ravenna - 00085710390</v>
      </c>
      <c r="C730" t="str">
        <f>"Manut. Impianti"</f>
        <v>Manut. Impianti</v>
      </c>
      <c r="D730" t="str">
        <f t="shared" si="170"/>
        <v>23-AFFIDAMENTO DIRETTO</v>
      </c>
      <c r="E730" t="str">
        <f>"NILO SERVIZI SRL - 02006680397"</f>
        <v>NILO SERVIZI SRL - 02006680397</v>
      </c>
      <c r="F730" t="str">
        <f>"NILO SERVIZI SRL - 02006680397"</f>
        <v>NILO SERVIZI SRL - 02006680397</v>
      </c>
      <c r="G730" t="str">
        <f>"285,00 EUR"</f>
        <v>285,00 EUR</v>
      </c>
      <c r="H730" t="str">
        <f>"05/03/2014 - 31/03/2014"</f>
        <v>05/03/2014 - 31/03/2014</v>
      </c>
      <c r="I730" t="str">
        <f>"285,00 EUR"</f>
        <v>285,00 EUR</v>
      </c>
    </row>
    <row r="731" spans="1:9" x14ac:dyDescent="0.25">
      <c r="A731" t="str">
        <f>"Z830E0C9AF"</f>
        <v>Z830E0C9AF</v>
      </c>
      <c r="B731" t="str">
        <f t="shared" si="172"/>
        <v>AC Ravenna - 00085710390</v>
      </c>
      <c r="C731" t="str">
        <f>"Servizio.spedizioni"</f>
        <v>Servizio.spedizioni</v>
      </c>
      <c r="D731" t="str">
        <f t="shared" si="170"/>
        <v>23-AFFIDAMENTO DIRETTO</v>
      </c>
      <c r="E731" t="str">
        <f>"GAMMA INDIRIZZI SRL - 01048250391"</f>
        <v>GAMMA INDIRIZZI SRL - 01048250391</v>
      </c>
      <c r="F731" t="str">
        <f>"GAMMA INDIRIZZI SRL - 01048250391"</f>
        <v>GAMMA INDIRIZZI SRL - 01048250391</v>
      </c>
      <c r="G731" t="str">
        <f>"3.146,00 EUR"</f>
        <v>3.146,00 EUR</v>
      </c>
      <c r="H731" t="str">
        <f>"26/02/2014 - 14/03/2014"</f>
        <v>26/02/2014 - 14/03/2014</v>
      </c>
      <c r="I731" t="str">
        <f>"3.146,00 EUR"</f>
        <v>3.146,00 EUR</v>
      </c>
    </row>
    <row r="732" spans="1:9" x14ac:dyDescent="0.25">
      <c r="A732" t="str">
        <f>"Z130E02B0E"</f>
        <v>Z130E02B0E</v>
      </c>
      <c r="B732" t="str">
        <f t="shared" si="172"/>
        <v>AC Ravenna - 00085710390</v>
      </c>
      <c r="C732" t="str">
        <f>"Centrale termica"</f>
        <v>Centrale termica</v>
      </c>
      <c r="D732" t="str">
        <f t="shared" si="170"/>
        <v>23-AFFIDAMENTO DIRETTO</v>
      </c>
      <c r="E732" t="str">
        <f>"NILO SERVIZI SRL - 02006680397"</f>
        <v>NILO SERVIZI SRL - 02006680397</v>
      </c>
      <c r="F732" t="str">
        <f>"NILO SERVIZI SRL - 02006680397"</f>
        <v>NILO SERVIZI SRL - 02006680397</v>
      </c>
      <c r="G732" t="str">
        <f>"200,00 EUR"</f>
        <v>200,00 EUR</v>
      </c>
      <c r="H732" t="str">
        <f>"25/02/2014 - 20/05/2014"</f>
        <v>25/02/2014 - 20/05/2014</v>
      </c>
      <c r="I732" t="str">
        <f>"200,00 EUR"</f>
        <v>200,00 EUR</v>
      </c>
    </row>
    <row r="733" spans="1:9" x14ac:dyDescent="0.25">
      <c r="A733" t="str">
        <f>"ZAF0DFF01D"</f>
        <v>ZAF0DFF01D</v>
      </c>
      <c r="B733" t="str">
        <f t="shared" si="172"/>
        <v>AC Ravenna - 00085710390</v>
      </c>
      <c r="C733" t="str">
        <f>"Modulistica"</f>
        <v>Modulistica</v>
      </c>
      <c r="D733" t="str">
        <f t="shared" si="170"/>
        <v>23-AFFIDAMENTO DIRETTO</v>
      </c>
      <c r="E733" t="str">
        <f>"TIPOLITOGRAFIA MAZZANTI S.r.l. - 02091850392"</f>
        <v>TIPOLITOGRAFIA MAZZANTI S.r.l. - 02091850392</v>
      </c>
      <c r="F733" t="str">
        <f>"TIPOLITOGRAFIA MAZZANTI S.r.l. - 02091850392"</f>
        <v>TIPOLITOGRAFIA MAZZANTI S.r.l. - 02091850392</v>
      </c>
      <c r="G733" t="str">
        <f>"90,00 EUR"</f>
        <v>90,00 EUR</v>
      </c>
      <c r="H733" t="str">
        <f>"24/02/2014 - 31/03/2014"</f>
        <v>24/02/2014 - 31/03/2014</v>
      </c>
      <c r="I733" t="str">
        <f>"90,00 EUR"</f>
        <v>90,00 EUR</v>
      </c>
    </row>
    <row r="734" spans="1:9" x14ac:dyDescent="0.25">
      <c r="A734" t="str">
        <f>"ZA10DFF043"</f>
        <v>ZA10DFF043</v>
      </c>
      <c r="B734" t="str">
        <f t="shared" si="172"/>
        <v>AC Ravenna - 00085710390</v>
      </c>
      <c r="C734" t="str">
        <f>"Pulizie Locali"</f>
        <v>Pulizie Locali</v>
      </c>
      <c r="D734" t="str">
        <f t="shared" ref="D734:D759" si="173">"23-AFFIDAMENTO DIRETTO"</f>
        <v>23-AFFIDAMENTO DIRETTO</v>
      </c>
      <c r="E734" t="str">
        <f>"CENTRO IGIENE S.r.l. - 02368400392"</f>
        <v>CENTRO IGIENE S.r.l. - 02368400392</v>
      </c>
      <c r="F734" t="str">
        <f>"CENTRO IGIENE S.r.l. - 02368400392"</f>
        <v>CENTRO IGIENE S.r.l. - 02368400392</v>
      </c>
      <c r="G734" t="str">
        <f>"1.375,00 EUR"</f>
        <v>1.375,00 EUR</v>
      </c>
      <c r="H734" t="str">
        <f>"24/02/2014 - 05/03/2014"</f>
        <v>24/02/2014 - 05/03/2014</v>
      </c>
      <c r="I734" t="str">
        <f>"1.375,00 EUR"</f>
        <v>1.375,00 EUR</v>
      </c>
    </row>
    <row r="735" spans="1:9" x14ac:dyDescent="0.25">
      <c r="A735" t="str">
        <f>"ZAA0DC64D0"</f>
        <v>ZAA0DC64D0</v>
      </c>
      <c r="B735" t="str">
        <f t="shared" ref="B735:B759" si="174">"AC Ravenna - 00085710390"</f>
        <v>AC Ravenna - 00085710390</v>
      </c>
      <c r="C735" t="str">
        <f>"Acquisto software uff.A.A."</f>
        <v>Acquisto software uff.A.A.</v>
      </c>
      <c r="D735" t="str">
        <f t="shared" si="173"/>
        <v>23-AFFIDAMENTO DIRETTO</v>
      </c>
      <c r="E735" t="str">
        <f>"HARVARD GROUP S.r.l. - 02254110402"</f>
        <v>HARVARD GROUP S.r.l. - 02254110402</v>
      </c>
      <c r="F735" t="str">
        <f>"HARVARD GROUP S.r.l. - 02254110402"</f>
        <v>HARVARD GROUP S.r.l. - 02254110402</v>
      </c>
      <c r="G735" t="str">
        <f>"198,00 EUR"</f>
        <v>198,00 EUR</v>
      </c>
      <c r="H735" t="str">
        <f>"10/02/2014 - 31/03/2014"</f>
        <v>10/02/2014 - 31/03/2014</v>
      </c>
      <c r="I735" t="str">
        <f>"198,00 EUR"</f>
        <v>198,00 EUR</v>
      </c>
    </row>
    <row r="736" spans="1:9" x14ac:dyDescent="0.25">
      <c r="A736" t="str">
        <f>"Z1A0DBF572"</f>
        <v>Z1A0DBF572</v>
      </c>
      <c r="B736" t="str">
        <f t="shared" si="174"/>
        <v>AC Ravenna - 00085710390</v>
      </c>
      <c r="C736" t="str">
        <f>"Cancelleria"</f>
        <v>Cancelleria</v>
      </c>
      <c r="D736" t="str">
        <f t="shared" si="173"/>
        <v>23-AFFIDAMENTO DIRETTO</v>
      </c>
      <c r="E736" t="str">
        <f>"TIPOLITOGRAFIA MAZZANTI S.r.l. - 02091850392"</f>
        <v>TIPOLITOGRAFIA MAZZANTI S.r.l. - 02091850392</v>
      </c>
      <c r="F736" t="str">
        <f>"TIPOLITOGRAFIA MAZZANTI S.r.l. - 02091850392"</f>
        <v>TIPOLITOGRAFIA MAZZANTI S.r.l. - 02091850392</v>
      </c>
      <c r="G736" t="str">
        <f>"202,00 EUR"</f>
        <v>202,00 EUR</v>
      </c>
      <c r="H736" t="str">
        <f>"08/02/2014 - 28/02/2014"</f>
        <v>08/02/2014 - 28/02/2014</v>
      </c>
      <c r="I736" t="str">
        <f>"202,00 EUR"</f>
        <v>202,00 EUR</v>
      </c>
    </row>
    <row r="737" spans="1:9" x14ac:dyDescent="0.25">
      <c r="A737" t="str">
        <f>"Z540DB983F"</f>
        <v>Z540DB983F</v>
      </c>
      <c r="B737" t="str">
        <f t="shared" si="174"/>
        <v>AC Ravenna - 00085710390</v>
      </c>
      <c r="C737" t="str">
        <f>"Revisione estintori"</f>
        <v>Revisione estintori</v>
      </c>
      <c r="D737" t="str">
        <f t="shared" si="173"/>
        <v>23-AFFIDAMENTO DIRETTO</v>
      </c>
      <c r="E737" t="str">
        <f>"NUOVA OLP IMPIANTI SRL - 01478520396"</f>
        <v>NUOVA OLP IMPIANTI SRL - 01478520396</v>
      </c>
      <c r="F737" t="str">
        <f>"NUOVA OLP IMPIANTI SRL - 01478520396"</f>
        <v>NUOVA OLP IMPIANTI SRL - 01478520396</v>
      </c>
      <c r="G737" t="str">
        <f>"92,00 EUR"</f>
        <v>92,00 EUR</v>
      </c>
      <c r="H737" t="str">
        <f>"06/02/2014 - 28/02/2014"</f>
        <v>06/02/2014 - 28/02/2014</v>
      </c>
      <c r="I737" t="str">
        <f>"92,00 EUR"</f>
        <v>92,00 EUR</v>
      </c>
    </row>
    <row r="738" spans="1:9" x14ac:dyDescent="0.25">
      <c r="A738" t="str">
        <f>"ZBA0DA6A4D"</f>
        <v>ZBA0DA6A4D</v>
      </c>
      <c r="B738" t="str">
        <f t="shared" si="174"/>
        <v>AC Ravenna - 00085710390</v>
      </c>
      <c r="C738" t="str">
        <f>"Materiale di consumo"</f>
        <v>Materiale di consumo</v>
      </c>
      <c r="D738" t="str">
        <f t="shared" si="173"/>
        <v>23-AFFIDAMENTO DIRETTO</v>
      </c>
      <c r="E738" t="str">
        <f>"PIERI GROUP SRL - 03459870402"</f>
        <v>PIERI GROUP SRL - 03459870402</v>
      </c>
      <c r="F738" t="str">
        <f>"PIERI GROUP SRL - 03459870402"</f>
        <v>PIERI GROUP SRL - 03459870402</v>
      </c>
      <c r="G738" t="str">
        <f>"67,00 EUR"</f>
        <v>67,00 EUR</v>
      </c>
      <c r="H738" t="str">
        <f>"02/02/2014 - 10/02/2014"</f>
        <v>02/02/2014 - 10/02/2014</v>
      </c>
      <c r="I738" t="str">
        <f>"67,00 EUR"</f>
        <v>67,00 EUR</v>
      </c>
    </row>
    <row r="739" spans="1:9" x14ac:dyDescent="0.25">
      <c r="A739" t="str">
        <f>"Z640DA30CE"</f>
        <v>Z640DA30CE</v>
      </c>
      <c r="B739" t="str">
        <f t="shared" si="174"/>
        <v>AC Ravenna - 00085710390</v>
      </c>
      <c r="C739" t="str">
        <f>"Gasolio riscaldamento"</f>
        <v>Gasolio riscaldamento</v>
      </c>
      <c r="D739" t="str">
        <f t="shared" si="173"/>
        <v>23-AFFIDAMENTO DIRETTO</v>
      </c>
      <c r="E739" t="str">
        <f>"PVB FUELS S.p.a. - 00453120222"</f>
        <v>PVB FUELS S.p.a. - 00453120222</v>
      </c>
      <c r="F739" t="str">
        <f>"PVB FUELS S.p.a. - 00453120222"</f>
        <v>PVB FUELS S.p.a. - 00453120222</v>
      </c>
      <c r="G739" t="str">
        <f>"2.130,00 EUR"</f>
        <v>2.130,00 EUR</v>
      </c>
      <c r="H739" t="str">
        <f>"08/02/2014 - 08/03/2014"</f>
        <v>08/02/2014 - 08/03/2014</v>
      </c>
      <c r="I739" t="str">
        <f>"2.130,00 EUR"</f>
        <v>2.130,00 EUR</v>
      </c>
    </row>
    <row r="740" spans="1:9" x14ac:dyDescent="0.25">
      <c r="A740" t="str">
        <f>"ZEB0DA213A"</f>
        <v>ZEB0DA213A</v>
      </c>
      <c r="B740" t="str">
        <f t="shared" si="174"/>
        <v>AC Ravenna - 00085710390</v>
      </c>
      <c r="C740" t="str">
        <f>"Buste/biglietti"</f>
        <v>Buste/biglietti</v>
      </c>
      <c r="D740" t="str">
        <f t="shared" si="173"/>
        <v>23-AFFIDAMENTO DIRETTO</v>
      </c>
      <c r="E740" t="str">
        <f>"TIPOLITOGRAFIA MAZZANTI S.r.l. - 02091850392"</f>
        <v>TIPOLITOGRAFIA MAZZANTI S.r.l. - 02091850392</v>
      </c>
      <c r="F740" t="str">
        <f>"TIPOLITOGRAFIA MAZZANTI S.r.l. - 02091850392"</f>
        <v>TIPOLITOGRAFIA MAZZANTI S.r.l. - 02091850392</v>
      </c>
      <c r="G740" t="str">
        <f>"50,00 EUR"</f>
        <v>50,00 EUR</v>
      </c>
      <c r="H740" t="str">
        <f>"03/02/2014 - 03/02/2014"</f>
        <v>03/02/2014 - 03/02/2014</v>
      </c>
      <c r="I740" t="str">
        <f>"50,00 EUR"</f>
        <v>50,00 EUR</v>
      </c>
    </row>
    <row r="741" spans="1:9" x14ac:dyDescent="0.25">
      <c r="A741" t="str">
        <f>"Z5A0D9A8C4"</f>
        <v>Z5A0D9A8C4</v>
      </c>
      <c r="B741" t="str">
        <f t="shared" si="174"/>
        <v>AC Ravenna - 00085710390</v>
      </c>
      <c r="C741" t="str">
        <f>"Sostituzione serratura"</f>
        <v>Sostituzione serratura</v>
      </c>
      <c r="D741" t="str">
        <f t="shared" si="173"/>
        <v>23-AFFIDAMENTO DIRETTO</v>
      </c>
      <c r="E741" t="str">
        <f>"GIACOBBI PAOLO - GCBPLA63L30H199V"</f>
        <v>GIACOBBI PAOLO - GCBPLA63L30H199V</v>
      </c>
      <c r="F741" t="str">
        <f>"GIACOBBI PAOLO - GCBPLA63L30H199V"</f>
        <v>GIACOBBI PAOLO - GCBPLA63L30H199V</v>
      </c>
      <c r="G741" t="str">
        <f>"240,00 EUR"</f>
        <v>240,00 EUR</v>
      </c>
      <c r="H741" t="str">
        <f>"30/01/2014 - 28/02/2014"</f>
        <v>30/01/2014 - 28/02/2014</v>
      </c>
      <c r="I741" t="str">
        <f>"240,00 EUR"</f>
        <v>240,00 EUR</v>
      </c>
    </row>
    <row r="742" spans="1:9" x14ac:dyDescent="0.25">
      <c r="A742" t="str">
        <f>"Z480D9A8D1"</f>
        <v>Z480D9A8D1</v>
      </c>
      <c r="B742" t="str">
        <f t="shared" si="174"/>
        <v>AC Ravenna - 00085710390</v>
      </c>
      <c r="C742" t="str">
        <f>"Servizio.spedizioni"</f>
        <v>Servizio.spedizioni</v>
      </c>
      <c r="D742" t="str">
        <f t="shared" si="173"/>
        <v>23-AFFIDAMENTO DIRETTO</v>
      </c>
      <c r="E742" t="str">
        <f>"GAMMA INDIRIZZI SRL - 01048250391"</f>
        <v>GAMMA INDIRIZZI SRL - 01048250391</v>
      </c>
      <c r="F742" t="str">
        <f>"GAMMA INDIRIZZI SRL - 01048250391"</f>
        <v>GAMMA INDIRIZZI SRL - 01048250391</v>
      </c>
      <c r="G742" t="str">
        <f>"78,00 EUR"</f>
        <v>78,00 EUR</v>
      </c>
      <c r="H742" t="str">
        <f>"30/01/2014 - 30/12/2014"</f>
        <v>30/01/2014 - 30/12/2014</v>
      </c>
      <c r="I742" t="str">
        <f>"78,00 EUR"</f>
        <v>78,00 EUR</v>
      </c>
    </row>
    <row r="743" spans="1:9" x14ac:dyDescent="0.25">
      <c r="A743" t="str">
        <f>"Z910D852B3"</f>
        <v>Z910D852B3</v>
      </c>
      <c r="B743" t="str">
        <f t="shared" si="174"/>
        <v>AC Ravenna - 00085710390</v>
      </c>
      <c r="C743" t="str">
        <f>"Assistenza software paghe"</f>
        <v>Assistenza software paghe</v>
      </c>
      <c r="D743" t="str">
        <f t="shared" si="173"/>
        <v>23-AFFIDAMENTO DIRETTO</v>
      </c>
      <c r="E743" t="str">
        <f>"HARVARD GROUP S.r.l. - 02254110402"</f>
        <v>HARVARD GROUP S.r.l. - 02254110402</v>
      </c>
      <c r="F743" t="str">
        <f>"HARVARD GROUP S.r.l. - 02254110402"</f>
        <v>HARVARD GROUP S.r.l. - 02254110402</v>
      </c>
      <c r="G743" t="str">
        <f>"2.272,00 EUR"</f>
        <v>2.272,00 EUR</v>
      </c>
      <c r="H743" t="str">
        <f>"27/01/2014 - 31/12/2014"</f>
        <v>27/01/2014 - 31/12/2014</v>
      </c>
      <c r="I743" t="str">
        <f>"2.272,00 EUR"</f>
        <v>2.272,00 EUR</v>
      </c>
    </row>
    <row r="744" spans="1:9" x14ac:dyDescent="0.25">
      <c r="A744" t="str">
        <f>"Z910D8344E"</f>
        <v>Z910D8344E</v>
      </c>
      <c r="B744" t="str">
        <f t="shared" si="174"/>
        <v>AC Ravenna - 00085710390</v>
      </c>
      <c r="C744" t="str">
        <f>"Canone manutenzione software"</f>
        <v>Canone manutenzione software</v>
      </c>
      <c r="D744" t="str">
        <f t="shared" si="173"/>
        <v>23-AFFIDAMENTO DIRETTO</v>
      </c>
      <c r="E744" t="str">
        <f>"HARVARD SERVICE S.r.l. - 02054730409"</f>
        <v>HARVARD SERVICE S.r.l. - 02054730409</v>
      </c>
      <c r="F744" t="str">
        <f>"HARVARD SERVICE S.r.l. - 02054730409"</f>
        <v>HARVARD SERVICE S.r.l. - 02054730409</v>
      </c>
      <c r="G744" t="str">
        <f>"8.361,00 EUR"</f>
        <v>8.361,00 EUR</v>
      </c>
      <c r="H744" t="str">
        <f>"27/01/2014 - 31/12/2014"</f>
        <v>27/01/2014 - 31/12/2014</v>
      </c>
      <c r="I744" t="str">
        <f>"8.361,00 EUR"</f>
        <v>8.361,00 EUR</v>
      </c>
    </row>
    <row r="745" spans="1:9" x14ac:dyDescent="0.25">
      <c r="A745" t="str">
        <f>"Z210D8132D"</f>
        <v>Z210D8132D</v>
      </c>
      <c r="B745" t="str">
        <f t="shared" si="174"/>
        <v>AC Ravenna - 00085710390</v>
      </c>
      <c r="C745" t="str">
        <f>"Rigenerazione nastri stampanti"</f>
        <v>Rigenerazione nastri stampanti</v>
      </c>
      <c r="D745" t="str">
        <f t="shared" si="173"/>
        <v>23-AFFIDAMENTO DIRETTO</v>
      </c>
      <c r="E745" t="str">
        <f>"ECO 2000 di Beretti Monica - BRRMNC65C60H199Y"</f>
        <v>ECO 2000 di Beretti Monica - BRRMNC65C60H199Y</v>
      </c>
      <c r="F745" t="str">
        <f>"ECO 2000 di Beretti Monica - BRRMNC65C60H199Y"</f>
        <v>ECO 2000 di Beretti Monica - BRRMNC65C60H199Y</v>
      </c>
      <c r="G745" t="str">
        <f>"900,00 EUR"</f>
        <v>900,00 EUR</v>
      </c>
      <c r="H745" t="str">
        <f>"27/01/2014 - 31/12/2014"</f>
        <v>27/01/2014 - 31/12/2014</v>
      </c>
      <c r="I745" t="str">
        <f>"900,00 EUR"</f>
        <v>900,00 EUR</v>
      </c>
    </row>
    <row r="746" spans="1:9" x14ac:dyDescent="0.25">
      <c r="A746" t="str">
        <f>"Z500D81319"</f>
        <v>Z500D81319</v>
      </c>
      <c r="B746" t="str">
        <f t="shared" si="174"/>
        <v>AC Ravenna - 00085710390</v>
      </c>
      <c r="C746" t="str">
        <f>"Canoni telefonici"</f>
        <v>Canoni telefonici</v>
      </c>
      <c r="D746" t="str">
        <f t="shared" si="173"/>
        <v>23-AFFIDAMENTO DIRETTO</v>
      </c>
      <c r="E746" t="str">
        <f>"TELECOM ITALIA S.p.a. - 00580600013"</f>
        <v>TELECOM ITALIA S.p.a. - 00580600013</v>
      </c>
      <c r="F746" t="str">
        <f>"TELECOM ITALIA S.p.a. - 00580600013"</f>
        <v>TELECOM ITALIA S.p.a. - 00580600013</v>
      </c>
      <c r="G746" t="str">
        <f>"6.923,00 EUR"</f>
        <v>6.923,00 EUR</v>
      </c>
      <c r="H746" t="str">
        <f>"27/01/2014 - 31/12/2014"</f>
        <v>27/01/2014 - 31/12/2014</v>
      </c>
      <c r="I746" t="str">
        <f>"6.923,00 EUR"</f>
        <v>6.923,00 EUR</v>
      </c>
    </row>
    <row r="747" spans="1:9" x14ac:dyDescent="0.25">
      <c r="A747" t="str">
        <f>"ZEC0D812FC"</f>
        <v>ZEC0D812FC</v>
      </c>
      <c r="B747" t="str">
        <f t="shared" si="174"/>
        <v>AC Ravenna - 00085710390</v>
      </c>
      <c r="C747" t="str">
        <f>"Pulizie Locali"</f>
        <v>Pulizie Locali</v>
      </c>
      <c r="D747" t="str">
        <f t="shared" si="173"/>
        <v>23-AFFIDAMENTO DIRETTO</v>
      </c>
      <c r="E747" t="str">
        <f>"CENTRO IGIENE S.r.l. - 02368400392"</f>
        <v>CENTRO IGIENE S.r.l. - 02368400392</v>
      </c>
      <c r="F747" t="str">
        <f>"CENTRO IGIENE S.r.l. - 02368400392"</f>
        <v>CENTRO IGIENE S.r.l. - 02368400392</v>
      </c>
      <c r="G747" t="str">
        <f>"1.375,00 EUR"</f>
        <v>1.375,00 EUR</v>
      </c>
      <c r="H747" t="str">
        <f>"27/01/2014 - 31/01/2014"</f>
        <v>27/01/2014 - 31/01/2014</v>
      </c>
      <c r="I747" t="str">
        <f>"1.375,00 EUR"</f>
        <v>1.375,00 EUR</v>
      </c>
    </row>
    <row r="748" spans="1:9" x14ac:dyDescent="0.25">
      <c r="A748" t="str">
        <f>"Z660D7C0C9"</f>
        <v>Z660D7C0C9</v>
      </c>
      <c r="B748" t="str">
        <f t="shared" si="174"/>
        <v>AC Ravenna - 00085710390</v>
      </c>
      <c r="C748" t="str">
        <f>"Fornitura Camcelleria e Stampati"</f>
        <v>Fornitura Camcelleria e Stampati</v>
      </c>
      <c r="D748" t="str">
        <f t="shared" si="173"/>
        <v>23-AFFIDAMENTO DIRETTO</v>
      </c>
      <c r="E748" t="str">
        <f>"DE.CA.RA snc - 00962160396"</f>
        <v>DE.CA.RA snc - 00962160396</v>
      </c>
      <c r="F748" t="str">
        <f>"DE.CA.RA snc - 00962160396"</f>
        <v>DE.CA.RA snc - 00962160396</v>
      </c>
      <c r="G748" t="str">
        <f>"75,00 EUR"</f>
        <v>75,00 EUR</v>
      </c>
      <c r="H748" t="str">
        <f>"24/01/2014 - 28/02/2014"</f>
        <v>24/01/2014 - 28/02/2014</v>
      </c>
      <c r="I748" t="str">
        <f>"75,00 EUR"</f>
        <v>75,00 EUR</v>
      </c>
    </row>
    <row r="749" spans="1:9" x14ac:dyDescent="0.25">
      <c r="A749" t="str">
        <f>"ZAA0D79071"</f>
        <v>ZAA0D79071</v>
      </c>
      <c r="B749" t="str">
        <f t="shared" si="174"/>
        <v>AC Ravenna - 00085710390</v>
      </c>
      <c r="C749" t="str">
        <f>"Manutenzione Impianto Telefonico"</f>
        <v>Manutenzione Impianto Telefonico</v>
      </c>
      <c r="D749" t="str">
        <f t="shared" si="173"/>
        <v>23-AFFIDAMENTO DIRETTO</v>
      </c>
      <c r="E749" t="str">
        <f>"ECIS ELETTRONICA SAS - 01400920391"</f>
        <v>ECIS ELETTRONICA SAS - 01400920391</v>
      </c>
      <c r="F749" t="str">
        <f>"ECIS ELETTRONICA SAS - 01400920391"</f>
        <v>ECIS ELETTRONICA SAS - 01400920391</v>
      </c>
      <c r="G749" t="str">
        <f>"85,00 EUR"</f>
        <v>85,00 EUR</v>
      </c>
      <c r="H749" t="str">
        <f>"27/01/2014 - 28/02/2014"</f>
        <v>27/01/2014 - 28/02/2014</v>
      </c>
      <c r="I749" t="str">
        <f>"85,00 EUR"</f>
        <v>85,00 EUR</v>
      </c>
    </row>
    <row r="750" spans="1:9" x14ac:dyDescent="0.25">
      <c r="A750" t="str">
        <f>"Z380D7901C"</f>
        <v>Z380D7901C</v>
      </c>
      <c r="B750" t="str">
        <f t="shared" si="174"/>
        <v>AC Ravenna - 00085710390</v>
      </c>
      <c r="C750" t="str">
        <f>"Hosting-Pec-Account"</f>
        <v>Hosting-Pec-Account</v>
      </c>
      <c r="D750" t="str">
        <f t="shared" si="173"/>
        <v>23-AFFIDAMENTO DIRETTO</v>
      </c>
      <c r="E750" t="str">
        <f>"FARNEDI ICT SRL - 03840520401"</f>
        <v>FARNEDI ICT SRL - 03840520401</v>
      </c>
      <c r="F750" t="str">
        <f>"FARNEDI ICT SRL - 03840520401"</f>
        <v>FARNEDI ICT SRL - 03840520401</v>
      </c>
      <c r="G750" t="str">
        <f>"624,00 EUR"</f>
        <v>624,00 EUR</v>
      </c>
      <c r="H750" t="str">
        <f>"23/01/2014 - 23/01/2014"</f>
        <v>23/01/2014 - 23/01/2014</v>
      </c>
      <c r="I750" t="str">
        <f>"624,00 EUR"</f>
        <v>624,00 EUR</v>
      </c>
    </row>
    <row r="751" spans="1:9" x14ac:dyDescent="0.25">
      <c r="A751" t="str">
        <f>"Z710D7405E"</f>
        <v>Z710D7405E</v>
      </c>
      <c r="B751" t="str">
        <f t="shared" si="174"/>
        <v>AC Ravenna - 00085710390</v>
      </c>
      <c r="C751" t="str">
        <f>"Servizio.spedizioni"</f>
        <v>Servizio.spedizioni</v>
      </c>
      <c r="D751" t="str">
        <f t="shared" si="173"/>
        <v>23-AFFIDAMENTO DIRETTO</v>
      </c>
      <c r="E751" t="str">
        <f>"GAMMA INDIRIZZI SRL - 01048250391"</f>
        <v>GAMMA INDIRIZZI SRL - 01048250391</v>
      </c>
      <c r="F751" t="str">
        <f>"GAMMA INDIRIZZI SRL - 01048250391"</f>
        <v>GAMMA INDIRIZZI SRL - 01048250391</v>
      </c>
      <c r="G751" t="str">
        <f>"1.995,00 EUR"</f>
        <v>1.995,00 EUR</v>
      </c>
      <c r="H751" t="str">
        <f>"22/01/2014 - 22/01/2014"</f>
        <v>22/01/2014 - 22/01/2014</v>
      </c>
      <c r="I751" t="str">
        <f>"1.995,00 EUR"</f>
        <v>1.995,00 EUR</v>
      </c>
    </row>
    <row r="752" spans="1:9" x14ac:dyDescent="0.25">
      <c r="A752" t="str">
        <f>"Z010D5CCFA"</f>
        <v>Z010D5CCFA</v>
      </c>
      <c r="B752" t="str">
        <f t="shared" si="174"/>
        <v>AC Ravenna - 00085710390</v>
      </c>
      <c r="C752" t="str">
        <f>"Antivirus"</f>
        <v>Antivirus</v>
      </c>
      <c r="D752" t="str">
        <f t="shared" si="173"/>
        <v>23-AFFIDAMENTO DIRETTO</v>
      </c>
      <c r="E752" t="str">
        <f>"DALLA PENNA AL COMPUTER di Ravaioli Stefano - RVLSFN58T21H199V"</f>
        <v>DALLA PENNA AL COMPUTER di Ravaioli Stefano - RVLSFN58T21H199V</v>
      </c>
      <c r="F752" t="str">
        <f>"DALLA PENNA AL COMPUTER di Ravaioli Stefano - RVLSFN58T21H199V"</f>
        <v>DALLA PENNA AL COMPUTER di Ravaioli Stefano - RVLSFN58T21H199V</v>
      </c>
      <c r="G752" t="str">
        <f>"90,00 EUR"</f>
        <v>90,00 EUR</v>
      </c>
      <c r="H752" t="str">
        <f>"17/01/2014 - 28/02/2014"</f>
        <v>17/01/2014 - 28/02/2014</v>
      </c>
      <c r="I752" t="str">
        <f>"80,00 EUR"</f>
        <v>80,00 EUR</v>
      </c>
    </row>
    <row r="753" spans="1:9" x14ac:dyDescent="0.25">
      <c r="A753" t="str">
        <f>"Z9A0D5C727"</f>
        <v>Z9A0D5C727</v>
      </c>
      <c r="B753" t="str">
        <f t="shared" si="174"/>
        <v>AC Ravenna - 00085710390</v>
      </c>
      <c r="C753" t="str">
        <f>"Giornali e Riviste"</f>
        <v>Giornali e Riviste</v>
      </c>
      <c r="D753" t="str">
        <f t="shared" si="173"/>
        <v>23-AFFIDAMENTO DIRETTO</v>
      </c>
      <c r="E753" t="str">
        <f>"J&amp;VSNC - 01428990392"</f>
        <v>J&amp;VSNC - 01428990392</v>
      </c>
      <c r="F753" t="str">
        <f>"J&amp;VSNC - 01428990392"</f>
        <v>J&amp;VSNC - 01428990392</v>
      </c>
      <c r="G753" t="str">
        <f>"900,00 EUR"</f>
        <v>900,00 EUR</v>
      </c>
      <c r="H753" t="str">
        <f>"16/01/2014 - 31/12/2014"</f>
        <v>16/01/2014 - 31/12/2014</v>
      </c>
      <c r="I753" t="str">
        <f>"900,00 EUR"</f>
        <v>900,00 EUR</v>
      </c>
    </row>
    <row r="754" spans="1:9" x14ac:dyDescent="0.25">
      <c r="A754" t="str">
        <f>"ZD80D5C82D"</f>
        <v>ZD80D5C82D</v>
      </c>
      <c r="B754" t="str">
        <f t="shared" si="174"/>
        <v>AC Ravenna - 00085710390</v>
      </c>
      <c r="C754" t="str">
        <f>"Cartelle archivio"</f>
        <v>Cartelle archivio</v>
      </c>
      <c r="D754" t="str">
        <f t="shared" si="173"/>
        <v>23-AFFIDAMENTO DIRETTO</v>
      </c>
      <c r="E754" t="str">
        <f>"TIPOLITOGRAFIA MAZZANTI S.r.l. - 02091850392"</f>
        <v>TIPOLITOGRAFIA MAZZANTI S.r.l. - 02091850392</v>
      </c>
      <c r="F754" t="str">
        <f>"TIPOLITOGRAFIA MAZZANTI S.r.l. - 02091850392"</f>
        <v>TIPOLITOGRAFIA MAZZANTI S.r.l. - 02091850392</v>
      </c>
      <c r="G754" t="str">
        <f>"294,00 EUR"</f>
        <v>294,00 EUR</v>
      </c>
      <c r="H754" t="str">
        <f>"16/01/2014 - 16/01/2014"</f>
        <v>16/01/2014 - 16/01/2014</v>
      </c>
      <c r="I754" t="str">
        <f>"294,00 EUR"</f>
        <v>294,00 EUR</v>
      </c>
    </row>
    <row r="755" spans="1:9" x14ac:dyDescent="0.25">
      <c r="A755" t="str">
        <f>"ZD70D5C7E8"</f>
        <v>ZD70D5C7E8</v>
      </c>
      <c r="B755" t="str">
        <f t="shared" si="174"/>
        <v>AC Ravenna - 00085710390</v>
      </c>
      <c r="C755" t="str">
        <f>"Cartoline Uff.A.A."</f>
        <v>Cartoline Uff.A.A.</v>
      </c>
      <c r="D755" t="str">
        <f t="shared" si="173"/>
        <v>23-AFFIDAMENTO DIRETTO</v>
      </c>
      <c r="E755" t="str">
        <f>"TIPOLITOGRAFIA MAZZANTI S.r.l. - 02091850392"</f>
        <v>TIPOLITOGRAFIA MAZZANTI S.r.l. - 02091850392</v>
      </c>
      <c r="F755" t="str">
        <f>"TIPOLITOGRAFIA MAZZANTI S.r.l. - 02091850392"</f>
        <v>TIPOLITOGRAFIA MAZZANTI S.r.l. - 02091850392</v>
      </c>
      <c r="G755" t="str">
        <f>"106,00 EUR"</f>
        <v>106,00 EUR</v>
      </c>
      <c r="H755" t="str">
        <f>"16/01/2014 - 28/02/2014"</f>
        <v>16/01/2014 - 28/02/2014</v>
      </c>
      <c r="I755" t="str">
        <f>"106,00 EUR"</f>
        <v>106,00 EUR</v>
      </c>
    </row>
    <row r="756" spans="1:9" x14ac:dyDescent="0.25">
      <c r="A756" t="str">
        <f>"Z4B0D5C673"</f>
        <v>Z4B0D5C673</v>
      </c>
      <c r="B756" t="str">
        <f t="shared" si="174"/>
        <v>AC Ravenna - 00085710390</v>
      </c>
      <c r="C756" t="str">
        <f>"Vigilanza notturna"</f>
        <v>Vigilanza notturna</v>
      </c>
      <c r="D756" t="str">
        <f t="shared" si="173"/>
        <v>23-AFFIDAMENTO DIRETTO</v>
      </c>
      <c r="E756" t="str">
        <f>"C.I.V.I.S. AUGUSTUS S.r.l. - 01042410405"</f>
        <v>C.I.V.I.S. AUGUSTUS S.r.l. - 01042410405</v>
      </c>
      <c r="F756" t="str">
        <f>"C.I.V.I.S. AUGUSTUS S.r.l. - 01042410405"</f>
        <v>C.I.V.I.S. AUGUSTUS S.r.l. - 01042410405</v>
      </c>
      <c r="G756" t="str">
        <f>"938,00 EUR"</f>
        <v>938,00 EUR</v>
      </c>
      <c r="H756" t="str">
        <f>"01/01/2014 - 31/12/2014"</f>
        <v>01/01/2014 - 31/12/2014</v>
      </c>
      <c r="I756" t="str">
        <f>"938,00 EUR"</f>
        <v>938,00 EUR</v>
      </c>
    </row>
    <row r="757" spans="1:9" x14ac:dyDescent="0.25">
      <c r="A757" t="str">
        <f>"Z7F0D2E959"</f>
        <v>Z7F0D2E959</v>
      </c>
      <c r="B757" t="str">
        <f t="shared" si="174"/>
        <v>AC Ravenna - 00085710390</v>
      </c>
      <c r="C757" t="str">
        <f>"Raccoglitori"</f>
        <v>Raccoglitori</v>
      </c>
      <c r="D757" t="str">
        <f t="shared" si="173"/>
        <v>23-AFFIDAMENTO DIRETTO</v>
      </c>
      <c r="E757" t="str">
        <f>"DE.CA.RA snc - 00962160396"</f>
        <v>DE.CA.RA snc - 00962160396</v>
      </c>
      <c r="F757" t="str">
        <f>"DE.CA.RA snc - 00962160396"</f>
        <v>DE.CA.RA snc - 00962160396</v>
      </c>
      <c r="G757" t="str">
        <f>"50,00 EUR"</f>
        <v>50,00 EUR</v>
      </c>
      <c r="H757" t="str">
        <f>"07/01/2014 - 28/02/2014"</f>
        <v>07/01/2014 - 28/02/2014</v>
      </c>
      <c r="I757" t="str">
        <f>"50,00 EUR"</f>
        <v>50,00 EUR</v>
      </c>
    </row>
    <row r="758" spans="1:9" x14ac:dyDescent="0.25">
      <c r="A758" t="str">
        <f>"Z020D3027C"</f>
        <v>Z020D3027C</v>
      </c>
      <c r="B758" t="str">
        <f t="shared" si="174"/>
        <v>AC Ravenna - 00085710390</v>
      </c>
      <c r="C758" t="str">
        <f>"Modulistica"</f>
        <v>Modulistica</v>
      </c>
      <c r="D758" t="str">
        <f t="shared" si="173"/>
        <v>23-AFFIDAMENTO DIRETTO</v>
      </c>
      <c r="E758" t="str">
        <f>"SAMORANI S.R.L. - 02705640403"</f>
        <v>SAMORANI S.R.L. - 02705640403</v>
      </c>
      <c r="F758" t="str">
        <f>"SAMORANI S.R.L. - 02705640403"</f>
        <v>SAMORANI S.R.L. - 02705640403</v>
      </c>
      <c r="G758" t="str">
        <f>"1.500,00 EUR"</f>
        <v>1.500,00 EUR</v>
      </c>
      <c r="H758" t="str">
        <f>"07/01/2014 - 28/02/2014"</f>
        <v>07/01/2014 - 28/02/2014</v>
      </c>
      <c r="I758" t="str">
        <f>"1.500,00 EUR"</f>
        <v>1.500,00 EUR</v>
      </c>
    </row>
    <row r="759" spans="1:9" x14ac:dyDescent="0.25">
      <c r="A759" t="str">
        <f>"ZBB0D30258"</f>
        <v>ZBB0D30258</v>
      </c>
      <c r="B759" t="str">
        <f t="shared" si="174"/>
        <v>AC Ravenna - 00085710390</v>
      </c>
      <c r="C759" t="str">
        <f>"Carta Fotocopiatrice"</f>
        <v>Carta Fotocopiatrice</v>
      </c>
      <c r="D759" t="str">
        <f t="shared" si="173"/>
        <v>23-AFFIDAMENTO DIRETTO</v>
      </c>
      <c r="E759" t="str">
        <f>"SAMORANI S.R.L. - 02705640403"</f>
        <v>SAMORANI S.R.L. - 02705640403</v>
      </c>
      <c r="F759" t="str">
        <f>"SAMORANI S.R.L. - 02705640403"</f>
        <v>SAMORANI S.R.L. - 02705640403</v>
      </c>
      <c r="G759" t="str">
        <f>"120,00 EUR"</f>
        <v>120,00 EUR</v>
      </c>
      <c r="H759" t="str">
        <f>"07/01/2014 - 28/02/2014"</f>
        <v>07/01/2014 - 28/02/2014</v>
      </c>
      <c r="I759" t="str">
        <f>"120,00 EUR"</f>
        <v>120,00 EUR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</dc:creator>
  <cp:lastModifiedBy>Gianluca</cp:lastModifiedBy>
  <dcterms:created xsi:type="dcterms:W3CDTF">2021-01-15T09:37:30Z</dcterms:created>
  <dcterms:modified xsi:type="dcterms:W3CDTF">2021-01-15T09:37:30Z</dcterms:modified>
</cp:coreProperties>
</file>